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GENERAL\Smartemp Air Rebranding\Products\AIR\SMARTEMP\SMARTEMP CNW-AD - [Circular Nozzle]\Selection Tool\"/>
    </mc:Choice>
  </mc:AlternateContent>
  <workbookProtection workbookAlgorithmName="SHA-512" workbookHashValue="7qC4JDO7Sr3rqIHG4N3761zX4STSLuu27385z8Br0Z28RK63q0O2N9jxRCZgYtquIEWNOSskfStIHP0Fx3g/lw==" workbookSaltValue="XU/2+QcJhwQUtwZlr23HEQ==" workbookSpinCount="100000" lockStructure="1"/>
  <bookViews>
    <workbookView xWindow="120" yWindow="1470" windowWidth="19095" windowHeight="12270"/>
  </bookViews>
  <sheets>
    <sheet name="CNW-AD" sheetId="1" r:id="rId1"/>
    <sheet name="CNW-ADequations" sheetId="5" state="hidden" r:id="rId2"/>
    <sheet name="Notes CNW-AD" sheetId="6" r:id="rId3"/>
    <sheet name="CNW-ADdata" sheetId="7" state="hidden" r:id="rId4"/>
  </sheets>
  <definedNames>
    <definedName name="_DN200size">'CNW-ADdata'!$B$10:$B$15</definedName>
    <definedName name="_DN250size">'CNW-ADdata'!$C$10:$C$15</definedName>
    <definedName name="_DN315size">'CNW-ADdata'!$D$10:$D$15</definedName>
    <definedName name="_DN400size">'CNW-ADdata'!$E$10:$E$15</definedName>
    <definedName name="_DN500size">'CNW-ADdata'!$F$10:$F$15</definedName>
    <definedName name="_DN630size">'CNW-ADdata'!$G$10:$G$15</definedName>
    <definedName name="_sizes">'CNW-ADdata'!$A$1:$A$6</definedName>
  </definedNames>
  <calcPr calcId="152511" concurrentCalc="0"/>
</workbook>
</file>

<file path=xl/calcChain.xml><?xml version="1.0" encoding="utf-8"?>
<calcChain xmlns="http://schemas.openxmlformats.org/spreadsheetml/2006/main">
  <c r="B10" i="5" l="1"/>
  <c r="BN19" i="5"/>
  <c r="AX19" i="5"/>
  <c r="BF19" i="5"/>
  <c r="AH17" i="5"/>
  <c r="AH18" i="5"/>
  <c r="BF17" i="5"/>
  <c r="BF18" i="5"/>
  <c r="C28" i="5"/>
  <c r="C36" i="5"/>
  <c r="Z17" i="5"/>
  <c r="Z18" i="5"/>
  <c r="AX17" i="5"/>
  <c r="AX18" i="5"/>
  <c r="D28" i="5"/>
  <c r="D36" i="5"/>
  <c r="R17" i="5"/>
  <c r="R18" i="5"/>
  <c r="E28" i="5"/>
  <c r="E36" i="5"/>
  <c r="J17" i="5"/>
  <c r="J18" i="5"/>
  <c r="F28" i="5"/>
  <c r="F36" i="5"/>
  <c r="B17" i="5"/>
  <c r="B18" i="5"/>
  <c r="G28" i="5"/>
  <c r="G36" i="5"/>
  <c r="AP17" i="5"/>
  <c r="AP18" i="5"/>
  <c r="BN17" i="5"/>
  <c r="BN18" i="5"/>
  <c r="B28" i="5"/>
  <c r="B36" i="5"/>
  <c r="R19" i="5"/>
  <c r="E29" i="5"/>
  <c r="E37" i="5"/>
  <c r="J19" i="5"/>
  <c r="F29" i="5"/>
  <c r="F37" i="5"/>
  <c r="B19" i="5"/>
  <c r="G29" i="5"/>
  <c r="G37" i="5"/>
  <c r="R20" i="5"/>
  <c r="E30" i="5"/>
  <c r="E38" i="5"/>
  <c r="J20" i="5"/>
  <c r="F30" i="5"/>
  <c r="F38" i="5"/>
  <c r="B20" i="5"/>
  <c r="G30" i="5"/>
  <c r="G38" i="5"/>
  <c r="G27" i="5"/>
  <c r="G35" i="5"/>
  <c r="I16" i="1"/>
  <c r="G32" i="5"/>
  <c r="G40" i="5"/>
  <c r="I21" i="1"/>
  <c r="L51" i="6"/>
  <c r="F27" i="5"/>
  <c r="F35" i="5"/>
  <c r="H16" i="1"/>
  <c r="F32" i="5"/>
  <c r="F40" i="5"/>
  <c r="H21" i="1"/>
  <c r="K51" i="6"/>
  <c r="E27" i="5"/>
  <c r="E35" i="5"/>
  <c r="G16" i="1"/>
  <c r="E32" i="5"/>
  <c r="E40" i="5"/>
  <c r="G21" i="1"/>
  <c r="J51" i="6"/>
  <c r="B27" i="5"/>
  <c r="B35" i="5"/>
  <c r="D16" i="1"/>
  <c r="B32" i="5"/>
  <c r="B40" i="5"/>
  <c r="D21" i="1"/>
  <c r="G51" i="6"/>
  <c r="C27" i="5"/>
  <c r="C35" i="5"/>
  <c r="E16" i="1"/>
  <c r="C32" i="5"/>
  <c r="C40" i="5"/>
  <c r="E21" i="1"/>
  <c r="H51" i="6"/>
  <c r="D27" i="5"/>
  <c r="D35" i="5"/>
  <c r="F16" i="1"/>
  <c r="D32" i="5"/>
  <c r="D40" i="5"/>
  <c r="F21" i="1"/>
  <c r="I51" i="6"/>
  <c r="Z19" i="5"/>
  <c r="AH19" i="5"/>
  <c r="C29" i="5"/>
  <c r="C37" i="5"/>
  <c r="D29" i="5"/>
  <c r="D37" i="5"/>
  <c r="AP19" i="5"/>
  <c r="B29" i="5"/>
  <c r="B37" i="5"/>
  <c r="Z20" i="5"/>
  <c r="BF20" i="5"/>
  <c r="AH20" i="5"/>
  <c r="C30" i="5"/>
  <c r="C38" i="5"/>
  <c r="AX20" i="5"/>
  <c r="D30" i="5"/>
  <c r="D38" i="5"/>
  <c r="BN20" i="5"/>
  <c r="AP20" i="5"/>
  <c r="B30" i="5"/>
  <c r="B38" i="5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E31" i="5"/>
  <c r="E39" i="5"/>
  <c r="G20" i="1"/>
  <c r="F31" i="5"/>
  <c r="F39" i="5"/>
  <c r="H20" i="1"/>
  <c r="G31" i="5"/>
  <c r="G39" i="5"/>
  <c r="I20" i="1"/>
  <c r="B39" i="5"/>
  <c r="C39" i="5"/>
  <c r="D39" i="5"/>
  <c r="B31" i="5"/>
  <c r="C31" i="5"/>
  <c r="D31" i="5"/>
  <c r="B4" i="5"/>
  <c r="R21" i="5"/>
  <c r="J21" i="5"/>
  <c r="B21" i="5"/>
  <c r="B16" i="5"/>
  <c r="J16" i="5"/>
  <c r="R16" i="5"/>
  <c r="B11" i="5"/>
  <c r="Z21" i="5"/>
  <c r="AH16" i="5"/>
  <c r="AH21" i="5"/>
  <c r="Z16" i="5"/>
  <c r="AP21" i="5"/>
  <c r="AP16" i="5"/>
  <c r="AX16" i="5"/>
  <c r="BF16" i="5"/>
  <c r="BN16" i="5"/>
  <c r="C3" i="5"/>
  <c r="BV20" i="5"/>
  <c r="J41" i="6"/>
  <c r="I19" i="6"/>
  <c r="I20" i="6"/>
  <c r="I17" i="6"/>
  <c r="I18" i="6"/>
  <c r="I16" i="6"/>
  <c r="I15" i="6"/>
  <c r="J15" i="6"/>
  <c r="J17" i="6"/>
  <c r="J16" i="6"/>
  <c r="J20" i="6"/>
  <c r="J19" i="6"/>
  <c r="J18" i="6"/>
  <c r="BV16" i="5"/>
  <c r="B13" i="5"/>
  <c r="BV21" i="5"/>
  <c r="BN21" i="5"/>
  <c r="BF21" i="5"/>
  <c r="AX21" i="5"/>
  <c r="BV17" i="5"/>
  <c r="BV18" i="5"/>
</calcChain>
</file>

<file path=xl/sharedStrings.xml><?xml version="1.0" encoding="utf-8"?>
<sst xmlns="http://schemas.openxmlformats.org/spreadsheetml/2006/main" count="163" uniqueCount="70">
  <si>
    <t>Inputs</t>
  </si>
  <si>
    <t>Airflow Rate</t>
  </si>
  <si>
    <t>Input Values</t>
  </si>
  <si>
    <t>Results</t>
  </si>
  <si>
    <r>
      <t xml:space="preserve">SMARTEMP </t>
    </r>
    <r>
      <rPr>
        <sz val="14"/>
        <color rgb="FFFF9900"/>
        <rFont val="Calibri"/>
        <family val="2"/>
        <scheme val="minor"/>
      </rPr>
      <t>PRODUCT SELECTION CALCULATOR</t>
    </r>
  </si>
  <si>
    <t>Copyright © 2016 SMARTAIR DIFFUSION</t>
  </si>
  <si>
    <t>Circular Nozzle [CNW-AD]</t>
  </si>
  <si>
    <t>Swirl</t>
  </si>
  <si>
    <t>Throw (m)</t>
  </si>
  <si>
    <t>Total Pressure Loss (Pa)</t>
  </si>
  <si>
    <t>Type 0</t>
  </si>
  <si>
    <t>SPL (dB(A))</t>
  </si>
  <si>
    <t>Min Centreline Dist</t>
  </si>
  <si>
    <t>Type 1</t>
  </si>
  <si>
    <t>DN630 [S0]</t>
  </si>
  <si>
    <t>DN500 [S0]</t>
  </si>
  <si>
    <t>DN400 [S0]</t>
  </si>
  <si>
    <t>DN315 [S0]</t>
  </si>
  <si>
    <t>DN250 [S0]</t>
  </si>
  <si>
    <t>DN200 [S0]</t>
  </si>
  <si>
    <t>DN400 [S1]</t>
  </si>
  <si>
    <t>DN315 [S1]</t>
  </si>
  <si>
    <t>DN250 [S1]</t>
  </si>
  <si>
    <t>Min Centreline Distance (m)</t>
  </si>
  <si>
    <t>click to see product on smartair.asia</t>
  </si>
  <si>
    <t>Include Swirl Element [Type S1]</t>
  </si>
  <si>
    <t>Maximum Permissible Pressure</t>
  </si>
  <si>
    <t>Pa</t>
  </si>
  <si>
    <t>Sound Power Level (dB(A))</t>
  </si>
  <si>
    <t xml:space="preserve">Pressure </t>
  </si>
  <si>
    <t>Permissible Pressure</t>
  </si>
  <si>
    <t xml:space="preserve">Key: </t>
  </si>
  <si>
    <t>Suitable</t>
  </si>
  <si>
    <t>Not Suitable</t>
  </si>
  <si>
    <t>P-V</t>
  </si>
  <si>
    <t>Total Pressure (Pa)</t>
  </si>
  <si>
    <t>Max Selected Total Pressure (Pa)</t>
  </si>
  <si>
    <t>Velocity</t>
  </si>
  <si>
    <t>Area</t>
  </si>
  <si>
    <t>m</t>
  </si>
  <si>
    <t>SWL (dB(A))</t>
  </si>
  <si>
    <t>Diffuser Location</t>
  </si>
  <si>
    <t>Warning</t>
  </si>
  <si>
    <t>Diffuser Sizing</t>
  </si>
  <si>
    <t xml:space="preserve">Select Unit Size </t>
  </si>
  <si>
    <t>DN630</t>
  </si>
  <si>
    <t>DN200</t>
  </si>
  <si>
    <t>DN250</t>
  </si>
  <si>
    <t>DN315</t>
  </si>
  <si>
    <t>DN400</t>
  </si>
  <si>
    <t>DN500</t>
  </si>
  <si>
    <t>D3</t>
  </si>
  <si>
    <t>D1</t>
  </si>
  <si>
    <t>D2</t>
  </si>
  <si>
    <t>L</t>
  </si>
  <si>
    <t>E</t>
  </si>
  <si>
    <r>
      <t>L</t>
    </r>
    <r>
      <rPr>
        <vertAlign val="subscript"/>
        <sz val="11"/>
        <color theme="1"/>
        <rFont val="Calibri"/>
        <family val="2"/>
        <scheme val="minor"/>
      </rPr>
      <t>E</t>
    </r>
  </si>
  <si>
    <t>Le</t>
  </si>
  <si>
    <t>ALL DIMENSIONS IN mm</t>
  </si>
  <si>
    <t>*</t>
  </si>
  <si>
    <t>Refer to 'Notes CNW-AD' worksheet for notes and diffuser sizing</t>
  </si>
  <si>
    <t>Circular Nozzle [CNW-AD] Notes</t>
  </si>
  <si>
    <t>default 50 Pa</t>
  </si>
  <si>
    <t>Units</t>
  </si>
  <si>
    <t>Unit Selection</t>
  </si>
  <si>
    <t>Unit Multiplier</t>
  </si>
  <si>
    <t>[L/s]</t>
  </si>
  <si>
    <r>
      <t>[m</t>
    </r>
    <r>
      <rPr>
        <vertAlign val="superscript"/>
        <sz val="11"/>
        <color theme="1" tint="0.34998626667073579"/>
        <rFont val="Calibri"/>
        <family val="2"/>
        <scheme val="minor"/>
      </rPr>
      <t>3</t>
    </r>
    <r>
      <rPr>
        <sz val="11"/>
        <color theme="1" tint="0.34998626667073579"/>
        <rFont val="Calibri"/>
        <family val="2"/>
        <scheme val="minor"/>
      </rPr>
      <t>/h]</t>
    </r>
  </si>
  <si>
    <t>Results Validation</t>
  </si>
  <si>
    <t>v 1.10 [08/2017]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</si>
</sst>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rgb="FFFF9900"/>
      <name val="Calibri"/>
      <family val="2"/>
      <scheme val="minor"/>
    </font>
    <font>
      <sz val="14"/>
      <color rgb="FFFF99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99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5" tint="-0.24997711111789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vertAlign val="superscript"/>
      <sz val="11"/>
      <color theme="1" tint="0.34998626667073579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double">
        <color rgb="FFFF800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 style="thin">
        <color theme="1" tint="0.14996795556505021"/>
      </left>
      <right/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9"/>
      </left>
      <right/>
      <top style="thin">
        <color theme="9"/>
      </top>
      <bottom style="double">
        <color rgb="FFFF8001"/>
      </bottom>
      <diagonal/>
    </border>
    <border>
      <left/>
      <right style="thin">
        <color theme="9"/>
      </right>
      <top style="thin">
        <color theme="9"/>
      </top>
      <bottom style="double">
        <color rgb="FFFF800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/>
      </right>
      <top/>
      <bottom/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7" applyNumberFormat="0" applyFill="0" applyAlignment="0" applyProtection="0"/>
  </cellStyleXfs>
  <cellXfs count="97">
    <xf numFmtId="0" fontId="0" fillId="0" borderId="0" xfId="0"/>
    <xf numFmtId="0" fontId="1" fillId="0" borderId="1" xfId="1"/>
    <xf numFmtId="0" fontId="2" fillId="0" borderId="0" xfId="0" applyFont="1"/>
    <xf numFmtId="1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right"/>
    </xf>
    <xf numFmtId="0" fontId="0" fillId="4" borderId="0" xfId="0" applyFill="1" applyBorder="1"/>
    <xf numFmtId="0" fontId="5" fillId="4" borderId="0" xfId="0" applyFont="1" applyFill="1" applyAlignment="1">
      <alignment horizontal="left" vertical="top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4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3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16" fillId="2" borderId="0" xfId="3" applyFont="1" applyFill="1" applyBorder="1"/>
    <xf numFmtId="0" fontId="11" fillId="2" borderId="0" xfId="3" applyFill="1" applyBorder="1"/>
    <xf numFmtId="0" fontId="17" fillId="4" borderId="0" xfId="4" applyFont="1" applyFill="1" applyBorder="1"/>
    <xf numFmtId="0" fontId="0" fillId="4" borderId="7" xfId="0" applyFill="1" applyBorder="1"/>
    <xf numFmtId="0" fontId="0" fillId="0" borderId="8" xfId="0" applyBorder="1"/>
    <xf numFmtId="0" fontId="0" fillId="0" borderId="8" xfId="0" applyFill="1" applyBorder="1"/>
    <xf numFmtId="0" fontId="0" fillId="0" borderId="8" xfId="0" applyBorder="1" applyAlignment="1">
      <alignment horizontal="center" vertical="center"/>
    </xf>
    <xf numFmtId="0" fontId="0" fillId="0" borderId="9" xfId="0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10" fillId="0" borderId="10" xfId="0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0" fillId="4" borderId="14" xfId="0" applyFill="1" applyBorder="1"/>
    <xf numFmtId="0" fontId="0" fillId="4" borderId="15" xfId="0" applyFill="1" applyBorder="1" applyAlignment="1">
      <alignment horizontal="right"/>
    </xf>
    <xf numFmtId="0" fontId="0" fillId="4" borderId="15" xfId="0" applyFill="1" applyBorder="1"/>
    <xf numFmtId="0" fontId="0" fillId="4" borderId="15" xfId="0" applyFill="1" applyBorder="1" applyAlignment="1">
      <alignment vertical="center"/>
    </xf>
    <xf numFmtId="0" fontId="8" fillId="4" borderId="15" xfId="0" applyFont="1" applyFill="1" applyBorder="1" applyAlignment="1">
      <alignment horizontal="right" vertical="center"/>
    </xf>
    <xf numFmtId="0" fontId="8" fillId="4" borderId="15" xfId="0" applyFont="1" applyFill="1" applyBorder="1" applyAlignment="1">
      <alignment vertical="center"/>
    </xf>
    <xf numFmtId="0" fontId="0" fillId="4" borderId="16" xfId="0" applyFill="1" applyBorder="1"/>
    <xf numFmtId="0" fontId="6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left"/>
    </xf>
    <xf numFmtId="0" fontId="21" fillId="0" borderId="17" xfId="6"/>
    <xf numFmtId="0" fontId="0" fillId="0" borderId="0" xfId="0" applyNumberFormat="1"/>
    <xf numFmtId="164" fontId="10" fillId="0" borderId="13" xfId="0" applyNumberFormat="1" applyFont="1" applyBorder="1" applyAlignment="1">
      <alignment horizontal="center" vertical="center"/>
    </xf>
    <xf numFmtId="0" fontId="19" fillId="2" borderId="0" xfId="5" applyFont="1" applyFill="1" applyBorder="1" applyAlignment="1">
      <alignment vertical="center"/>
    </xf>
    <xf numFmtId="0" fontId="19" fillId="2" borderId="19" xfId="5" applyFont="1" applyFill="1" applyBorder="1" applyAlignment="1">
      <alignment vertical="center"/>
    </xf>
    <xf numFmtId="0" fontId="10" fillId="4" borderId="23" xfId="0" applyFont="1" applyFill="1" applyBorder="1" applyAlignment="1">
      <alignment horizontal="left" vertical="center"/>
    </xf>
    <xf numFmtId="165" fontId="10" fillId="0" borderId="24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165" fontId="22" fillId="0" borderId="25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0" fontId="10" fillId="4" borderId="22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right" vertical="center"/>
    </xf>
    <xf numFmtId="0" fontId="23" fillId="3" borderId="27" xfId="0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left" vertical="center"/>
    </xf>
    <xf numFmtId="165" fontId="10" fillId="0" borderId="29" xfId="0" applyNumberFormat="1" applyFont="1" applyBorder="1" applyAlignment="1">
      <alignment horizontal="center" vertical="center"/>
    </xf>
    <xf numFmtId="0" fontId="0" fillId="0" borderId="0" xfId="0" applyFont="1"/>
    <xf numFmtId="0" fontId="21" fillId="0" borderId="17" xfId="6" applyBorder="1"/>
    <xf numFmtId="0" fontId="0" fillId="0" borderId="20" xfId="0" applyBorder="1"/>
    <xf numFmtId="0" fontId="25" fillId="3" borderId="2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0" fillId="3" borderId="0" xfId="0" applyFill="1"/>
    <xf numFmtId="164" fontId="10" fillId="0" borderId="30" xfId="0" applyNumberFormat="1" applyFont="1" applyBorder="1" applyAlignment="1">
      <alignment horizontal="center" vertical="center"/>
    </xf>
    <xf numFmtId="0" fontId="10" fillId="4" borderId="18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left" vertical="center"/>
    </xf>
    <xf numFmtId="0" fontId="0" fillId="5" borderId="33" xfId="0" applyFill="1" applyBorder="1"/>
    <xf numFmtId="0" fontId="0" fillId="5" borderId="0" xfId="0" applyFill="1"/>
    <xf numFmtId="0" fontId="0" fillId="5" borderId="0" xfId="0" applyFill="1" applyBorder="1"/>
    <xf numFmtId="0" fontId="5" fillId="5" borderId="7" xfId="1" applyFont="1" applyFill="1" applyBorder="1" applyAlignment="1">
      <alignment horizontal="left"/>
    </xf>
    <xf numFmtId="0" fontId="24" fillId="5" borderId="0" xfId="0" applyFont="1" applyFill="1"/>
    <xf numFmtId="0" fontId="5" fillId="5" borderId="0" xfId="1" applyFont="1" applyFill="1" applyBorder="1" applyAlignment="1">
      <alignment horizontal="left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24" fillId="3" borderId="0" xfId="0" applyFont="1" applyFill="1"/>
    <xf numFmtId="0" fontId="0" fillId="3" borderId="0" xfId="0" applyFill="1" applyAlignment="1">
      <alignment vertical="top"/>
    </xf>
    <xf numFmtId="0" fontId="28" fillId="4" borderId="0" xfId="0" applyFont="1" applyFill="1"/>
    <xf numFmtId="0" fontId="4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left" vertical="top"/>
    </xf>
    <xf numFmtId="0" fontId="5" fillId="4" borderId="7" xfId="1" applyFont="1" applyFill="1" applyBorder="1" applyAlignment="1">
      <alignment horizontal="left"/>
    </xf>
    <xf numFmtId="0" fontId="20" fillId="2" borderId="0" xfId="5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7" fillId="3" borderId="31" xfId="2" applyFont="1" applyFill="1" applyBorder="1" applyAlignment="1" applyProtection="1">
      <alignment horizontal="center" vertical="center"/>
      <protection locked="0"/>
    </xf>
    <xf numFmtId="0" fontId="7" fillId="3" borderId="32" xfId="2" applyFont="1" applyFill="1" applyBorder="1" applyAlignment="1" applyProtection="1">
      <alignment horizontal="center" vertical="center"/>
      <protection locked="0"/>
    </xf>
  </cellXfs>
  <cellStyles count="7">
    <cellStyle name="Heading 1" xfId="1" builtinId="16"/>
    <cellStyle name="Heading 2" xfId="6" builtinId="17"/>
    <cellStyle name="Heading 4" xfId="4" builtinId="19"/>
    <cellStyle name="Hyperlink" xfId="5" builtinId="8"/>
    <cellStyle name="Linked Cell" xfId="2" builtinId="24"/>
    <cellStyle name="Normal" xfId="0" builtinId="0"/>
    <cellStyle name="Title" xfId="3" builtinId="15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'CNW-ADequations'!$B$12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checked="Checked" firstButton="1" fmlaLink="'CNW-ADequations'!$B$3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609601</xdr:colOff>
      <xdr:row>1</xdr:row>
      <xdr:rowOff>95250</xdr:rowOff>
    </xdr:from>
    <xdr:to>
      <xdr:col>13</xdr:col>
      <xdr:colOff>754970</xdr:colOff>
      <xdr:row>2</xdr:row>
      <xdr:rowOff>271966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1" y="285750"/>
          <a:ext cx="2326594" cy="4434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10</xdr:row>
          <xdr:rowOff>190500</xdr:rowOff>
        </xdr:from>
        <xdr:to>
          <xdr:col>5</xdr:col>
          <xdr:colOff>247650</xdr:colOff>
          <xdr:row>12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152250</xdr:colOff>
      <xdr:row>5</xdr:row>
      <xdr:rowOff>200024</xdr:rowOff>
    </xdr:from>
    <xdr:to>
      <xdr:col>13</xdr:col>
      <xdr:colOff>895200</xdr:colOff>
      <xdr:row>18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9277200" y="1304924"/>
          <a:ext cx="2924175" cy="29241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171450</xdr:rowOff>
        </xdr:from>
        <xdr:to>
          <xdr:col>5</xdr:col>
          <xdr:colOff>590550</xdr:colOff>
          <xdr:row>8</xdr:row>
          <xdr:rowOff>85725</xdr:rowOff>
        </xdr:to>
        <xdr:grpSp>
          <xdr:nvGrpSpPr>
            <xdr:cNvPr id="3" name="Group 2"/>
            <xdr:cNvGrpSpPr/>
          </xdr:nvGrpSpPr>
          <xdr:grpSpPr>
            <a:xfrm>
              <a:off x="4410075" y="1504950"/>
              <a:ext cx="1400175" cy="371475"/>
              <a:chOff x="4410075" y="1504950"/>
              <a:chExt cx="1400175" cy="371475"/>
            </a:xfrm>
          </xdr:grpSpPr>
          <xdr:sp macro="" textlink="">
            <xdr:nvSpPr>
              <xdr:cNvPr id="1043" name="Group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4410075" y="1504950"/>
                <a:ext cx="1400175" cy="3714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Group Box 19</a:t>
                </a:r>
              </a:p>
            </xdr:txBody>
          </xdr:sp>
          <xdr:sp macro="" textlink="">
            <xdr:nvSpPr>
              <xdr:cNvPr id="1044" name="Option Button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4461427" y="1577836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Option Button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5048250" y="158363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48</xdr:row>
      <xdr:rowOff>76200</xdr:rowOff>
    </xdr:from>
    <xdr:to>
      <xdr:col>14</xdr:col>
      <xdr:colOff>218328</xdr:colOff>
      <xdr:row>63</xdr:row>
      <xdr:rowOff>101240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9686925"/>
          <a:ext cx="5980953" cy="288254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6</xdr:col>
      <xdr:colOff>57150</xdr:colOff>
      <xdr:row>41</xdr:row>
      <xdr:rowOff>123825</xdr:rowOff>
    </xdr:from>
    <xdr:to>
      <xdr:col>9</xdr:col>
      <xdr:colOff>247650</xdr:colOff>
      <xdr:row>43</xdr:row>
      <xdr:rowOff>57150</xdr:rowOff>
    </xdr:to>
    <xdr:sp macro="" textlink="$G$51:$I$51">
      <xdr:nvSpPr>
        <xdr:cNvPr id="3" name="TextBox 2"/>
        <xdr:cNvSpPr txBox="1"/>
      </xdr:nvSpPr>
      <xdr:spPr>
        <a:xfrm>
          <a:off x="1276350" y="1419225"/>
          <a:ext cx="201930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889A621-D4FF-4F64-A8AD-F876B9354991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Size: DN200 [S0]; C ≥ 0.3 m</a:t>
          </a:fld>
          <a:endParaRPr lang="en-AU" sz="1200" b="0"/>
        </a:p>
      </xdr:txBody>
    </xdr:sp>
    <xdr:clientData/>
  </xdr:twoCellAnchor>
  <xdr:twoCellAnchor>
    <xdr:from>
      <xdr:col>6</xdr:col>
      <xdr:colOff>57150</xdr:colOff>
      <xdr:row>43</xdr:row>
      <xdr:rowOff>76200</xdr:rowOff>
    </xdr:from>
    <xdr:to>
      <xdr:col>9</xdr:col>
      <xdr:colOff>247651</xdr:colOff>
      <xdr:row>45</xdr:row>
      <xdr:rowOff>9525</xdr:rowOff>
    </xdr:to>
    <xdr:sp macro="" textlink="$H$51">
      <xdr:nvSpPr>
        <xdr:cNvPr id="4" name="TextBox 3"/>
        <xdr:cNvSpPr txBox="1"/>
      </xdr:nvSpPr>
      <xdr:spPr>
        <a:xfrm>
          <a:off x="1276350" y="1752600"/>
          <a:ext cx="201930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AC1025B-E532-4A08-A1E3-712FC74B07B3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Size: DN250 [S0]; C ≥ 0.375 m</a:t>
          </a:fld>
          <a:endParaRPr lang="en-AU" sz="1200"/>
        </a:p>
      </xdr:txBody>
    </xdr:sp>
    <xdr:clientData/>
  </xdr:twoCellAnchor>
  <xdr:twoCellAnchor>
    <xdr:from>
      <xdr:col>6</xdr:col>
      <xdr:colOff>57150</xdr:colOff>
      <xdr:row>45</xdr:row>
      <xdr:rowOff>28575</xdr:rowOff>
    </xdr:from>
    <xdr:to>
      <xdr:col>9</xdr:col>
      <xdr:colOff>247651</xdr:colOff>
      <xdr:row>46</xdr:row>
      <xdr:rowOff>152400</xdr:rowOff>
    </xdr:to>
    <xdr:sp macro="" textlink="$I$51">
      <xdr:nvSpPr>
        <xdr:cNvPr id="5" name="TextBox 4"/>
        <xdr:cNvSpPr txBox="1"/>
      </xdr:nvSpPr>
      <xdr:spPr>
        <a:xfrm>
          <a:off x="1276350" y="2085975"/>
          <a:ext cx="201930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920C2F9-867E-442C-A469-B06B8F6D0413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Size: DN315 [S0]; C ≥ 0.473 m</a:t>
          </a:fld>
          <a:endParaRPr lang="en-AU" sz="1200"/>
        </a:p>
      </xdr:txBody>
    </xdr:sp>
    <xdr:clientData/>
  </xdr:twoCellAnchor>
  <xdr:twoCellAnchor>
    <xdr:from>
      <xdr:col>9</xdr:col>
      <xdr:colOff>266700</xdr:colOff>
      <xdr:row>41</xdr:row>
      <xdr:rowOff>123825</xdr:rowOff>
    </xdr:from>
    <xdr:to>
      <xdr:col>12</xdr:col>
      <xdr:colOff>476250</xdr:colOff>
      <xdr:row>43</xdr:row>
      <xdr:rowOff>57150</xdr:rowOff>
    </xdr:to>
    <xdr:sp macro="" textlink="$J$51">
      <xdr:nvSpPr>
        <xdr:cNvPr id="6" name="TextBox 5"/>
        <xdr:cNvSpPr txBox="1"/>
      </xdr:nvSpPr>
      <xdr:spPr>
        <a:xfrm>
          <a:off x="5753100" y="8401050"/>
          <a:ext cx="20383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CE5DDFD-C6C2-44F4-A51E-2A2B1C6FDD01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Size: DN400 [S0]; C ≥ 0.6 m</a:t>
          </a:fld>
          <a:endParaRPr lang="en-AU" sz="1200"/>
        </a:p>
      </xdr:txBody>
    </xdr:sp>
    <xdr:clientData/>
  </xdr:twoCellAnchor>
  <xdr:twoCellAnchor>
    <xdr:from>
      <xdr:col>9</xdr:col>
      <xdr:colOff>266699</xdr:colOff>
      <xdr:row>43</xdr:row>
      <xdr:rowOff>76200</xdr:rowOff>
    </xdr:from>
    <xdr:to>
      <xdr:col>12</xdr:col>
      <xdr:colOff>466724</xdr:colOff>
      <xdr:row>45</xdr:row>
      <xdr:rowOff>9525</xdr:rowOff>
    </xdr:to>
    <xdr:sp macro="" textlink="$K$51">
      <xdr:nvSpPr>
        <xdr:cNvPr id="7" name="TextBox 6"/>
        <xdr:cNvSpPr txBox="1"/>
      </xdr:nvSpPr>
      <xdr:spPr>
        <a:xfrm>
          <a:off x="5753099" y="8734425"/>
          <a:ext cx="20288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E5D58E-A74A-4DF7-987D-B9775492C685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Size: DN500 [S0]; C ≥ 0.75 m</a:t>
          </a:fld>
          <a:endParaRPr lang="en-AU" sz="1200"/>
        </a:p>
      </xdr:txBody>
    </xdr:sp>
    <xdr:clientData/>
  </xdr:twoCellAnchor>
  <xdr:twoCellAnchor>
    <xdr:from>
      <xdr:col>9</xdr:col>
      <xdr:colOff>266699</xdr:colOff>
      <xdr:row>45</xdr:row>
      <xdr:rowOff>28575</xdr:rowOff>
    </xdr:from>
    <xdr:to>
      <xdr:col>12</xdr:col>
      <xdr:colOff>466724</xdr:colOff>
      <xdr:row>46</xdr:row>
      <xdr:rowOff>152400</xdr:rowOff>
    </xdr:to>
    <xdr:sp macro="" textlink="$L$51">
      <xdr:nvSpPr>
        <xdr:cNvPr id="8" name="TextBox 7"/>
        <xdr:cNvSpPr txBox="1"/>
      </xdr:nvSpPr>
      <xdr:spPr>
        <a:xfrm>
          <a:off x="5753099" y="9067800"/>
          <a:ext cx="20288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B3E5063-1748-4DC9-A172-52AB1BA1D337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Size: DN630 [S0]; C ≥ 0.945 m</a:t>
          </a:fld>
          <a:endParaRPr lang="en-AU" sz="1200"/>
        </a:p>
      </xdr:txBody>
    </xdr:sp>
    <xdr:clientData/>
  </xdr:twoCellAnchor>
  <xdr:twoCellAnchor>
    <xdr:from>
      <xdr:col>9</xdr:col>
      <xdr:colOff>123825</xdr:colOff>
      <xdr:row>46</xdr:row>
      <xdr:rowOff>171450</xdr:rowOff>
    </xdr:from>
    <xdr:to>
      <xdr:col>9</xdr:col>
      <xdr:colOff>561975</xdr:colOff>
      <xdr:row>48</xdr:row>
      <xdr:rowOff>66675</xdr:rowOff>
    </xdr:to>
    <xdr:sp macro="" textlink="">
      <xdr:nvSpPr>
        <xdr:cNvPr id="9" name="TextBox 8"/>
        <xdr:cNvSpPr txBox="1"/>
      </xdr:nvSpPr>
      <xdr:spPr>
        <a:xfrm>
          <a:off x="3171825" y="2419350"/>
          <a:ext cx="4381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/>
            <a:t>C</a:t>
          </a:r>
        </a:p>
      </xdr:txBody>
    </xdr:sp>
    <xdr:clientData/>
  </xdr:twoCellAnchor>
  <xdr:twoCellAnchor>
    <xdr:from>
      <xdr:col>3</xdr:col>
      <xdr:colOff>352425</xdr:colOff>
      <xdr:row>9</xdr:row>
      <xdr:rowOff>152400</xdr:rowOff>
    </xdr:from>
    <xdr:to>
      <xdr:col>15</xdr:col>
      <xdr:colOff>95250</xdr:colOff>
      <xdr:row>34</xdr:row>
      <xdr:rowOff>132751</xdr:rowOff>
    </xdr:to>
    <xdr:grpSp>
      <xdr:nvGrpSpPr>
        <xdr:cNvPr id="20" name="Group 19"/>
        <xdr:cNvGrpSpPr/>
      </xdr:nvGrpSpPr>
      <xdr:grpSpPr>
        <a:xfrm>
          <a:off x="2181225" y="2209800"/>
          <a:ext cx="7058025" cy="4780951"/>
          <a:chOff x="962025" y="1476375"/>
          <a:chExt cx="7058025" cy="479047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38225" y="1476375"/>
            <a:ext cx="6647619" cy="4790476"/>
          </a:xfrm>
          <a:prstGeom prst="rect">
            <a:avLst/>
          </a:prstGeom>
          <a:noFill/>
        </xdr:spPr>
      </xdr:pic>
      <xdr:sp macro="" textlink="$J$15">
        <xdr:nvSpPr>
          <xdr:cNvPr id="11" name="TextBox 10"/>
          <xdr:cNvSpPr txBox="1"/>
        </xdr:nvSpPr>
        <xdr:spPr>
          <a:xfrm>
            <a:off x="962025" y="3790950"/>
            <a:ext cx="771525" cy="31432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DB3D20-34D4-4811-B46E-C0FFF1DA426F}" type="TxLink">
              <a:rPr lang="en-US" sz="1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D3 = 398</a:t>
            </a:fld>
            <a:endParaRPr lang="en-AU" sz="1200" b="1"/>
          </a:p>
        </xdr:txBody>
      </xdr:sp>
      <xdr:sp macro="" textlink="$J$16">
        <xdr:nvSpPr>
          <xdr:cNvPr id="14" name="TextBox 13"/>
          <xdr:cNvSpPr txBox="1"/>
        </xdr:nvSpPr>
        <xdr:spPr>
          <a:xfrm>
            <a:off x="6600826" y="3752850"/>
            <a:ext cx="742950" cy="31432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FAE9673-864D-4C69-98CA-E8D93A8F7777}" type="TxLink">
              <a:rPr lang="en-US" sz="1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D1 = 230</a:t>
            </a:fld>
            <a:endParaRPr lang="en-AU" sz="1200" b="1"/>
          </a:p>
        </xdr:txBody>
      </xdr:sp>
      <xdr:sp macro="" textlink="$J$17">
        <xdr:nvSpPr>
          <xdr:cNvPr id="15" name="TextBox 14"/>
          <xdr:cNvSpPr txBox="1"/>
        </xdr:nvSpPr>
        <xdr:spPr>
          <a:xfrm>
            <a:off x="7267575" y="3752850"/>
            <a:ext cx="752475" cy="31432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13FE1E2-D0AF-48EE-A62E-A03BCE58C6FD}" type="TxLink">
              <a:rPr lang="en-US" sz="1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D2 = 467</a:t>
            </a:fld>
            <a:endParaRPr lang="en-AU" sz="1200" b="1"/>
          </a:p>
        </xdr:txBody>
      </xdr:sp>
      <xdr:sp macro="" textlink="$J$18">
        <xdr:nvSpPr>
          <xdr:cNvPr id="16" name="TextBox 15"/>
          <xdr:cNvSpPr txBox="1"/>
        </xdr:nvSpPr>
        <xdr:spPr>
          <a:xfrm>
            <a:off x="4876801" y="5810250"/>
            <a:ext cx="647700" cy="31432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BB4BCAF-48C8-4D09-939D-5153D5D989BB}" type="TxLink">
              <a:rPr lang="en-US" sz="1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L = 194</a:t>
            </a:fld>
            <a:endParaRPr lang="en-AU" sz="1200" b="1"/>
          </a:p>
        </xdr:txBody>
      </xdr:sp>
      <xdr:sp macro="" textlink="$J$19">
        <xdr:nvSpPr>
          <xdr:cNvPr id="17" name="TextBox 16"/>
          <xdr:cNvSpPr txBox="1"/>
        </xdr:nvSpPr>
        <xdr:spPr>
          <a:xfrm>
            <a:off x="6115050" y="1619250"/>
            <a:ext cx="561975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04302BCC-233C-452C-A5BF-4F0A984CBF94}" type="TxLink">
              <a:rPr lang="en-US" sz="1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l"/>
              <a:t>E = 24</a:t>
            </a:fld>
            <a:endParaRPr lang="en-AU" sz="1200" b="1"/>
          </a:p>
        </xdr:txBody>
      </xdr:sp>
      <xdr:sp macro="" textlink="$J$20">
        <xdr:nvSpPr>
          <xdr:cNvPr id="18" name="TextBox 17"/>
          <xdr:cNvSpPr txBox="1"/>
        </xdr:nvSpPr>
        <xdr:spPr>
          <a:xfrm>
            <a:off x="3429001" y="1562100"/>
            <a:ext cx="704850" cy="31432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D227C7D-2774-40F2-84E9-0D0AD6275860}" type="TxLink">
              <a:rPr lang="en-US" sz="12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Le = 340</a:t>
            </a:fld>
            <a:endParaRPr lang="en-AU" sz="1200" b="1"/>
          </a:p>
        </xdr:txBody>
      </xdr:sp>
      <xdr:sp macro="" textlink="">
        <xdr:nvSpPr>
          <xdr:cNvPr id="19" name="Rectangle 18"/>
          <xdr:cNvSpPr/>
        </xdr:nvSpPr>
        <xdr:spPr>
          <a:xfrm>
            <a:off x="5943601" y="1695450"/>
            <a:ext cx="114300" cy="2381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 editAs="oneCell">
    <xdr:from>
      <xdr:col>12</xdr:col>
      <xdr:colOff>85726</xdr:colOff>
      <xdr:row>1</xdr:row>
      <xdr:rowOff>76200</xdr:rowOff>
    </xdr:from>
    <xdr:to>
      <xdr:col>16</xdr:col>
      <xdr:colOff>212045</xdr:colOff>
      <xdr:row>2</xdr:row>
      <xdr:rowOff>252916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6" y="266700"/>
          <a:ext cx="2326594" cy="443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martair.asia/product/85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1"/>
  <sheetViews>
    <sheetView showGridLines="0" tabSelected="1" zoomScaleNormal="100" workbookViewId="0">
      <selection activeCell="D8" sqref="D8"/>
    </sheetView>
  </sheetViews>
  <sheetFormatPr defaultRowHeight="15" x14ac:dyDescent="0.25"/>
  <cols>
    <col min="3" max="3" width="34.5703125" customWidth="1"/>
    <col min="4" max="9" width="12.7109375" customWidth="1"/>
    <col min="10" max="10" width="7.7109375" customWidth="1"/>
    <col min="11" max="11" width="10.140625" customWidth="1"/>
    <col min="12" max="13" width="11.28515625" customWidth="1"/>
    <col min="14" max="14" width="26.5703125" customWidth="1"/>
  </cols>
  <sheetData>
    <row r="1" spans="1:15" x14ac:dyDescent="0.25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34"/>
    </row>
    <row r="2" spans="1:15" ht="21" x14ac:dyDescent="0.35">
      <c r="B2" s="21"/>
      <c r="C2" s="22" t="s">
        <v>4</v>
      </c>
      <c r="D2" s="20"/>
      <c r="E2" s="20"/>
      <c r="F2" s="20"/>
      <c r="G2" s="23"/>
      <c r="H2" s="23"/>
      <c r="I2" s="23"/>
      <c r="J2" s="23"/>
      <c r="K2" s="23"/>
      <c r="L2" s="23"/>
      <c r="M2" s="23"/>
      <c r="N2" s="23"/>
      <c r="O2" s="34"/>
    </row>
    <row r="3" spans="1:15" ht="25.5" customHeight="1" x14ac:dyDescent="0.35">
      <c r="B3" s="21"/>
      <c r="C3" s="24" t="s">
        <v>6</v>
      </c>
      <c r="D3" s="20"/>
      <c r="E3" s="20"/>
      <c r="F3" s="20"/>
      <c r="G3" s="23"/>
      <c r="H3" s="23"/>
      <c r="I3" s="23"/>
      <c r="J3" s="23"/>
      <c r="K3" s="23"/>
      <c r="L3" s="23"/>
      <c r="M3" s="23"/>
      <c r="N3" s="23"/>
      <c r="O3" s="34"/>
    </row>
    <row r="4" spans="1:15" ht="13.5" customHeight="1" x14ac:dyDescent="0.3">
      <c r="B4" s="2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34"/>
    </row>
    <row r="5" spans="1:15" s="7" customFormat="1" ht="12" customHeight="1" x14ac:dyDescent="0.25">
      <c r="A5" s="3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9"/>
    </row>
    <row r="6" spans="1:15" ht="18" customHeight="1" thickBot="1" x14ac:dyDescent="0.35">
      <c r="A6" s="32"/>
      <c r="B6" s="6"/>
      <c r="C6" s="89" t="s">
        <v>0</v>
      </c>
      <c r="D6" s="89"/>
      <c r="E6" s="27"/>
      <c r="F6" s="6"/>
      <c r="G6" s="6"/>
      <c r="H6" s="6"/>
      <c r="I6" s="6"/>
      <c r="J6" s="6"/>
      <c r="K6" s="6"/>
      <c r="L6" s="6"/>
      <c r="M6" s="6"/>
      <c r="N6" s="86" t="s">
        <v>69</v>
      </c>
      <c r="O6" s="28"/>
    </row>
    <row r="7" spans="1:15" ht="18" customHeight="1" thickTop="1" x14ac:dyDescent="0.25">
      <c r="A7" s="32"/>
      <c r="B7" s="6"/>
      <c r="C7" s="8"/>
      <c r="D7" s="6"/>
      <c r="E7" s="6"/>
      <c r="F7" s="85"/>
      <c r="G7" s="6"/>
      <c r="H7" s="6"/>
      <c r="I7" s="6"/>
      <c r="J7" s="6"/>
      <c r="K7" s="6"/>
      <c r="L7" s="6"/>
      <c r="M7" s="6"/>
      <c r="N7" s="6"/>
      <c r="O7" s="28"/>
    </row>
    <row r="8" spans="1:15" ht="18" customHeight="1" thickBot="1" x14ac:dyDescent="0.3">
      <c r="A8" s="32"/>
      <c r="B8" s="6"/>
      <c r="C8" s="10" t="s">
        <v>1</v>
      </c>
      <c r="D8" s="15">
        <v>350</v>
      </c>
      <c r="E8" s="87" t="s">
        <v>66</v>
      </c>
      <c r="F8" s="88" t="s">
        <v>67</v>
      </c>
      <c r="G8" s="6"/>
      <c r="H8" s="6"/>
      <c r="I8" s="10"/>
      <c r="J8" s="6"/>
      <c r="K8" s="6"/>
      <c r="L8" s="6"/>
      <c r="M8" s="6"/>
      <c r="N8" s="6"/>
      <c r="O8" s="28"/>
    </row>
    <row r="9" spans="1:15" ht="18" customHeight="1" thickTop="1" x14ac:dyDescent="0.25">
      <c r="A9" s="32"/>
      <c r="B9" s="6"/>
      <c r="C9" s="10"/>
      <c r="D9" s="9"/>
      <c r="E9" s="17"/>
      <c r="F9" s="85"/>
      <c r="G9" s="6"/>
      <c r="H9" s="8"/>
      <c r="I9" s="6"/>
      <c r="J9" s="6"/>
      <c r="K9" s="6"/>
      <c r="L9" s="6"/>
      <c r="M9" s="6"/>
      <c r="N9" s="6"/>
      <c r="O9" s="28"/>
    </row>
    <row r="10" spans="1:15" ht="18" customHeight="1" thickBot="1" x14ac:dyDescent="0.3">
      <c r="A10" s="32"/>
      <c r="B10" s="6"/>
      <c r="C10" s="44" t="s">
        <v>26</v>
      </c>
      <c r="D10" s="15">
        <v>50</v>
      </c>
      <c r="E10" s="17" t="s">
        <v>27</v>
      </c>
      <c r="F10" s="85" t="s">
        <v>62</v>
      </c>
      <c r="G10" s="6"/>
      <c r="H10" s="8"/>
      <c r="I10" s="6"/>
      <c r="J10" s="6"/>
      <c r="K10" s="6"/>
      <c r="L10" s="6"/>
      <c r="M10" s="6"/>
      <c r="N10" s="6"/>
      <c r="O10" s="28"/>
    </row>
    <row r="11" spans="1:15" ht="18" customHeight="1" thickTop="1" x14ac:dyDescent="0.25">
      <c r="A11" s="32"/>
      <c r="B11" s="6"/>
      <c r="C11" s="44"/>
      <c r="D11" s="45"/>
      <c r="E11" s="17"/>
      <c r="F11" s="6"/>
      <c r="G11" s="6"/>
      <c r="H11" s="8"/>
      <c r="I11" s="6"/>
      <c r="J11" s="6"/>
      <c r="K11" s="6"/>
      <c r="L11" s="6"/>
      <c r="M11" s="6"/>
      <c r="N11" s="6"/>
      <c r="O11" s="28"/>
    </row>
    <row r="12" spans="1:15" ht="18" customHeight="1" x14ac:dyDescent="0.25">
      <c r="A12" s="32"/>
      <c r="B12" s="6"/>
      <c r="C12" s="44"/>
      <c r="D12" s="46" t="s">
        <v>25</v>
      </c>
      <c r="E12" s="17"/>
      <c r="F12" s="6"/>
      <c r="G12" s="6"/>
      <c r="H12" s="8"/>
      <c r="I12" s="6"/>
      <c r="J12" s="6"/>
      <c r="K12" s="6"/>
      <c r="L12" s="6"/>
      <c r="M12" s="6"/>
      <c r="N12" s="6"/>
      <c r="O12" s="28"/>
    </row>
    <row r="13" spans="1:15" ht="18" customHeight="1" x14ac:dyDescent="0.25">
      <c r="A13" s="32"/>
      <c r="B13" s="6"/>
      <c r="C13" s="44"/>
      <c r="D13" s="45"/>
      <c r="E13" s="17"/>
      <c r="F13" s="6"/>
      <c r="G13" s="6"/>
      <c r="H13" s="8"/>
      <c r="I13" s="6"/>
      <c r="J13" s="6"/>
      <c r="K13" s="6"/>
      <c r="L13" s="6"/>
      <c r="M13" s="6"/>
      <c r="N13" s="6"/>
      <c r="O13" s="28"/>
    </row>
    <row r="14" spans="1:15" x14ac:dyDescent="0.25">
      <c r="A14" s="32"/>
      <c r="B14" s="37"/>
      <c r="C14" s="38"/>
      <c r="D14" s="39"/>
      <c r="E14" s="39"/>
      <c r="F14" s="39"/>
      <c r="G14" s="40"/>
      <c r="H14" s="41"/>
      <c r="I14" s="42"/>
      <c r="J14" s="40"/>
      <c r="K14" s="40"/>
      <c r="L14" s="39"/>
      <c r="M14" s="39"/>
      <c r="N14" s="43"/>
      <c r="O14" s="28"/>
    </row>
    <row r="15" spans="1:15" ht="21" customHeight="1" x14ac:dyDescent="0.25">
      <c r="A15" s="32"/>
      <c r="B15" s="6"/>
      <c r="C15" s="12" t="s">
        <v>3</v>
      </c>
      <c r="D15" s="11"/>
      <c r="E15" s="6"/>
      <c r="F15" s="6"/>
      <c r="G15" s="6"/>
      <c r="H15" s="6"/>
      <c r="I15" s="6"/>
      <c r="J15" s="6"/>
      <c r="K15" s="6"/>
      <c r="L15" s="6"/>
      <c r="M15" s="6"/>
      <c r="N15" s="6"/>
      <c r="O15" s="28"/>
    </row>
    <row r="16" spans="1:15" s="5" customFormat="1" ht="21" customHeight="1" x14ac:dyDescent="0.25">
      <c r="A16" s="33"/>
      <c r="B16" s="13"/>
      <c r="C16" s="14"/>
      <c r="D16" s="35" t="str">
        <f>'CNW-ADequations'!B35</f>
        <v>DN200 [S0]</v>
      </c>
      <c r="E16" s="35" t="str">
        <f>'CNW-ADequations'!C35</f>
        <v>DN250 [S0]</v>
      </c>
      <c r="F16" s="35" t="str">
        <f>'CNW-ADequations'!D35</f>
        <v>DN315 [S0]</v>
      </c>
      <c r="G16" s="35" t="str">
        <f>'CNW-ADequations'!E35</f>
        <v>DN400 [S0]</v>
      </c>
      <c r="H16" s="35" t="str">
        <f>'CNW-ADequations'!F35</f>
        <v>DN500 [S0]</v>
      </c>
      <c r="I16" s="35" t="str">
        <f>'CNW-ADequations'!G35</f>
        <v>DN630 [S0]</v>
      </c>
      <c r="J16" s="13"/>
      <c r="K16" s="13"/>
      <c r="L16" s="13"/>
      <c r="M16" s="13"/>
      <c r="N16" s="13"/>
      <c r="O16" s="30"/>
    </row>
    <row r="17" spans="1:15" s="5" customFormat="1" ht="21" customHeight="1" x14ac:dyDescent="0.25">
      <c r="A17" s="33"/>
      <c r="B17" s="13"/>
      <c r="C17" s="62" t="s">
        <v>8</v>
      </c>
      <c r="D17" s="36">
        <f>'CNW-ADequations'!B36</f>
        <v>73.487719864666317</v>
      </c>
      <c r="E17" s="36">
        <f>'CNW-ADequations'!C36</f>
        <v>57.345158129253136</v>
      </c>
      <c r="F17" s="36">
        <f>'CNW-ADequations'!D36</f>
        <v>43.473757157379097</v>
      </c>
      <c r="G17" s="63">
        <f>'CNW-ADequations'!E36</f>
        <v>30.924346050129735</v>
      </c>
      <c r="H17" s="36">
        <f>'CNW-ADequations'!F36</f>
        <v>23.952481888957294</v>
      </c>
      <c r="I17" s="63">
        <f>'CNW-ADequations'!G36</f>
        <v>17.501878220120297</v>
      </c>
      <c r="J17" s="13"/>
      <c r="K17" s="13"/>
      <c r="L17" s="13"/>
      <c r="M17" s="13"/>
      <c r="N17" s="13"/>
      <c r="O17" s="30"/>
    </row>
    <row r="18" spans="1:15" s="5" customFormat="1" ht="21" customHeight="1" x14ac:dyDescent="0.25">
      <c r="A18" s="33"/>
      <c r="B18" s="13"/>
      <c r="C18" s="68" t="s">
        <v>28</v>
      </c>
      <c r="D18" s="53">
        <f>'CNW-ADequations'!B37</f>
        <v>68.184037584424303</v>
      </c>
      <c r="E18" s="53">
        <f>'CNW-ADequations'!C37</f>
        <v>56.863548533452089</v>
      </c>
      <c r="F18" s="53">
        <f>'CNW-ADequations'!D37</f>
        <v>44.896565129696214</v>
      </c>
      <c r="G18" s="53">
        <f>'CNW-ADequations'!E37</f>
        <v>31.083729759448801</v>
      </c>
      <c r="H18" s="53">
        <f>'CNW-ADequations'!F37</f>
        <v>21.87902472158542</v>
      </c>
      <c r="I18" s="53" t="str">
        <f>'CNW-ADequations'!G37</f>
        <v>&lt; 20</v>
      </c>
      <c r="J18" s="13"/>
      <c r="K18" s="13"/>
      <c r="L18" s="13"/>
      <c r="M18" s="13"/>
      <c r="N18" s="13"/>
      <c r="O18" s="30"/>
    </row>
    <row r="19" spans="1:15" s="5" customFormat="1" ht="21" customHeight="1" x14ac:dyDescent="0.25">
      <c r="A19" s="33"/>
      <c r="B19" s="13"/>
      <c r="C19" s="52" t="s">
        <v>35</v>
      </c>
      <c r="D19" s="53">
        <f>'CNW-ADequations'!B38</f>
        <v>889.09856292640438</v>
      </c>
      <c r="E19" s="53">
        <f>'CNW-ADequations'!C38</f>
        <v>346.26038781163442</v>
      </c>
      <c r="F19" s="36">
        <f>'CNW-ADequations'!D38</f>
        <v>133.74530526683554</v>
      </c>
      <c r="G19" s="53">
        <f>'CNW-ADequations'!E38</f>
        <v>41.322314049586772</v>
      </c>
      <c r="H19" s="53">
        <f>'CNW-ADequations'!F38</f>
        <v>19.671509872689203</v>
      </c>
      <c r="I19" s="53" t="str">
        <f>'CNW-ADequations'!G38</f>
        <v>&lt; 10</v>
      </c>
      <c r="J19" s="13"/>
      <c r="K19" s="13"/>
      <c r="L19" s="13"/>
      <c r="M19" s="13"/>
      <c r="N19" s="13"/>
      <c r="O19" s="30"/>
    </row>
    <row r="20" spans="1:15" s="5" customFormat="1" ht="21" customHeight="1" x14ac:dyDescent="0.25">
      <c r="A20" s="33"/>
      <c r="B20" s="13"/>
      <c r="C20" s="55" t="s">
        <v>36</v>
      </c>
      <c r="D20" s="56">
        <f>'CNW-ADequations'!B39</f>
        <v>50</v>
      </c>
      <c r="E20" s="56">
        <f>'CNW-ADequations'!C39</f>
        <v>50</v>
      </c>
      <c r="F20" s="57">
        <f>'CNW-ADequations'!D39</f>
        <v>50</v>
      </c>
      <c r="G20" s="56">
        <f>'CNW-ADequations'!E39</f>
        <v>50</v>
      </c>
      <c r="H20" s="56">
        <f>'CNW-ADequations'!F39</f>
        <v>50</v>
      </c>
      <c r="I20" s="56">
        <f>'CNW-ADequations'!G39</f>
        <v>50</v>
      </c>
      <c r="J20" s="59" t="s">
        <v>31</v>
      </c>
      <c r="K20" s="60" t="s">
        <v>32</v>
      </c>
      <c r="L20" s="61" t="s">
        <v>33</v>
      </c>
      <c r="M20" s="67" t="s">
        <v>42</v>
      </c>
      <c r="N20" s="13"/>
      <c r="O20" s="30"/>
    </row>
    <row r="21" spans="1:15" s="5" customFormat="1" ht="21" customHeight="1" x14ac:dyDescent="0.25">
      <c r="A21" s="33"/>
      <c r="B21" s="13"/>
      <c r="C21" s="58" t="s">
        <v>23</v>
      </c>
      <c r="D21" s="49">
        <f>'CNW-ADequations'!B40</f>
        <v>0.3</v>
      </c>
      <c r="E21" s="49">
        <f>'CNW-ADequations'!C40</f>
        <v>0.375</v>
      </c>
      <c r="F21" s="54">
        <f>'CNW-ADequations'!D40</f>
        <v>0.47249999999999998</v>
      </c>
      <c r="G21" s="70">
        <f>'CNW-ADequations'!E40</f>
        <v>0.6</v>
      </c>
      <c r="H21" s="70">
        <f>'CNW-ADequations'!F40</f>
        <v>0.75</v>
      </c>
      <c r="I21" s="49">
        <f>'CNW-ADequations'!G40</f>
        <v>0.94499999999999995</v>
      </c>
      <c r="J21" s="72" t="s">
        <v>59</v>
      </c>
      <c r="K21" s="73" t="s">
        <v>60</v>
      </c>
      <c r="L21" s="68"/>
      <c r="M21" s="68"/>
      <c r="N21" s="13"/>
      <c r="O21" s="30"/>
    </row>
    <row r="22" spans="1:15" s="5" customFormat="1" ht="21" customHeight="1" x14ac:dyDescent="0.25">
      <c r="A22" s="33"/>
      <c r="B22" s="13"/>
      <c r="C22" s="68"/>
      <c r="D22" s="68"/>
      <c r="E22" s="68"/>
      <c r="F22" s="68"/>
      <c r="G22" s="71"/>
      <c r="H22" s="68"/>
      <c r="I22" s="68"/>
      <c r="J22" s="59"/>
      <c r="K22" s="68"/>
      <c r="L22" s="68"/>
      <c r="M22" s="68"/>
      <c r="N22" s="13"/>
      <c r="O22" s="30"/>
    </row>
    <row r="23" spans="1:15" ht="15.75" x14ac:dyDescent="0.25">
      <c r="A23" s="32"/>
      <c r="B23" s="11"/>
      <c r="C23" s="2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8"/>
    </row>
    <row r="24" spans="1:15" ht="15.75" x14ac:dyDescent="0.25">
      <c r="B24" s="51"/>
      <c r="C24" s="50"/>
      <c r="D24" s="50"/>
      <c r="E24" s="90" t="s">
        <v>24</v>
      </c>
      <c r="F24" s="90"/>
      <c r="G24" s="90"/>
      <c r="H24" s="50"/>
      <c r="I24" s="50"/>
      <c r="J24" s="23"/>
      <c r="K24" s="91" t="s">
        <v>5</v>
      </c>
      <c r="L24" s="91"/>
      <c r="M24" s="91"/>
      <c r="N24" s="92"/>
      <c r="O24" s="34"/>
    </row>
    <row r="25" spans="1:15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5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5" x14ac:dyDescent="0.25">
      <c r="B27" s="34"/>
      <c r="C27" s="34"/>
      <c r="J27" s="34"/>
      <c r="K27" s="34"/>
      <c r="L27" s="34"/>
      <c r="M27" s="34"/>
      <c r="N27" s="34"/>
    </row>
    <row r="28" spans="1:15" x14ac:dyDescent="0.25">
      <c r="B28" s="34"/>
      <c r="C28" s="34"/>
      <c r="J28" s="34"/>
      <c r="K28" s="34"/>
      <c r="L28" s="34"/>
      <c r="M28" s="34"/>
      <c r="N28" s="34"/>
    </row>
    <row r="29" spans="1:15" x14ac:dyDescent="0.25">
      <c r="C29" s="34"/>
      <c r="J29" s="34"/>
      <c r="K29" s="34"/>
      <c r="L29" s="34"/>
      <c r="M29" s="34"/>
      <c r="N29" s="34"/>
    </row>
    <row r="30" spans="1:15" x14ac:dyDescent="0.25">
      <c r="J30" s="34"/>
      <c r="K30" s="34"/>
      <c r="L30" s="34"/>
      <c r="M30" s="34"/>
      <c r="N30" s="34"/>
    </row>
    <row r="31" spans="1:15" x14ac:dyDescent="0.25">
      <c r="J31" s="34"/>
      <c r="K31" s="34"/>
      <c r="L31" s="34"/>
      <c r="M31" s="34"/>
      <c r="N31" s="34"/>
    </row>
  </sheetData>
  <sheetProtection algorithmName="SHA-512" hashValue="IxmkZjWhbtCCnIWkjo6SkY45DNHE2/3ni4ThPYvo0rxHSmSfhLbRk4BFGt0aAMKKYyJ45wG7vVVHnMhrZf5A4w==" saltValue="IMmIZqvu1MrICpqZ48yC9w==" spinCount="100000" sheet="1" objects="1" scenarios="1" selectLockedCells="1"/>
  <mergeCells count="3">
    <mergeCell ref="C6:D6"/>
    <mergeCell ref="E24:G24"/>
    <mergeCell ref="K24:N24"/>
  </mergeCells>
  <conditionalFormatting sqref="I16:I21">
    <cfRule type="expression" dxfId="5" priority="12">
      <formula>($I$19&gt;$D$10)</formula>
    </cfRule>
  </conditionalFormatting>
  <conditionalFormatting sqref="H16:H21">
    <cfRule type="expression" dxfId="4" priority="11">
      <formula>($H$19&gt;$D$10)</formula>
    </cfRule>
  </conditionalFormatting>
  <conditionalFormatting sqref="G16:G21">
    <cfRule type="expression" dxfId="3" priority="10">
      <formula>($G$19&gt;$D$10)</formula>
    </cfRule>
  </conditionalFormatting>
  <conditionalFormatting sqref="F16:F21">
    <cfRule type="expression" dxfId="2" priority="9">
      <formula>($F$19&gt;$D$10)</formula>
    </cfRule>
  </conditionalFormatting>
  <conditionalFormatting sqref="E16:E21">
    <cfRule type="expression" dxfId="1" priority="8">
      <formula>($E$19&gt;$D$10)</formula>
    </cfRule>
  </conditionalFormatting>
  <conditionalFormatting sqref="D16:D21">
    <cfRule type="expression" dxfId="0" priority="7">
      <formula>($D$19&gt;$D$10)</formula>
    </cfRule>
  </conditionalFormatting>
  <dataValidations count="1">
    <dataValidation type="decimal" allowBlank="1" showInputMessage="1" showErrorMessage="1" error="Please input a value between 10 and 100." sqref="D10">
      <formula1>10</formula1>
      <formula2>100</formula2>
    </dataValidation>
  </dataValidations>
  <hyperlinks>
    <hyperlink ref="E24" r:id="rId1" display="click to see product on  smartair.asia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2</xdr:col>
                    <xdr:colOff>2095500</xdr:colOff>
                    <xdr:row>10</xdr:row>
                    <xdr:rowOff>190500</xdr:rowOff>
                  </from>
                  <to>
                    <xdr:col>5</xdr:col>
                    <xdr:colOff>247650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Group Box 19">
              <controlPr defaultSize="0" autoFill="0" autoPict="0">
                <anchor moveWithCells="1">
                  <from>
                    <xdr:col>4</xdr:col>
                    <xdr:colOff>38100</xdr:colOff>
                    <xdr:row>6</xdr:row>
                    <xdr:rowOff>171450</xdr:rowOff>
                  </from>
                  <to>
                    <xdr:col>5</xdr:col>
                    <xdr:colOff>590550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Option Button 20">
              <controlPr defaultSize="0" autoFill="0" autoLine="0" autoPict="0">
                <anchor moveWithCells="1">
                  <from>
                    <xdr:col>4</xdr:col>
                    <xdr:colOff>85725</xdr:colOff>
                    <xdr:row>7</xdr:row>
                    <xdr:rowOff>19050</xdr:rowOff>
                  </from>
                  <to>
                    <xdr:col>4</xdr:col>
                    <xdr:colOff>390525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Option Button 21">
              <controlPr defaultSize="0" autoFill="0" autoLine="0" autoPict="0">
                <anchor moveWithCells="1">
                  <from>
                    <xdr:col>4</xdr:col>
                    <xdr:colOff>676275</xdr:colOff>
                    <xdr:row>7</xdr:row>
                    <xdr:rowOff>19050</xdr:rowOff>
                  </from>
                  <to>
                    <xdr:col>5</xdr:col>
                    <xdr:colOff>133350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0"/>
  <sheetViews>
    <sheetView workbookViewId="0">
      <selection activeCell="D29" sqref="D29"/>
    </sheetView>
  </sheetViews>
  <sheetFormatPr defaultRowHeight="15" x14ac:dyDescent="0.25"/>
  <cols>
    <col min="1" max="1" width="22.28515625" customWidth="1"/>
    <col min="2" max="2" width="11.7109375" customWidth="1"/>
    <col min="3" max="3" width="12.140625" customWidth="1"/>
    <col min="4" max="4" width="12" customWidth="1"/>
    <col min="5" max="5" width="12.28515625" customWidth="1"/>
    <col min="6" max="6" width="11.28515625" customWidth="1"/>
    <col min="7" max="7" width="10.85546875" customWidth="1"/>
    <col min="8" max="8" width="12.28515625" customWidth="1"/>
    <col min="9" max="9" width="17.42578125" customWidth="1"/>
    <col min="17" max="17" width="22.28515625" customWidth="1"/>
    <col min="25" max="25" width="21.5703125" customWidth="1"/>
    <col min="33" max="33" width="21.5703125" customWidth="1"/>
    <col min="41" max="41" width="22.85546875" customWidth="1"/>
  </cols>
  <sheetData>
    <row r="1" spans="1:76" ht="20.25" thickBot="1" x14ac:dyDescent="0.35">
      <c r="A1" s="1" t="s">
        <v>63</v>
      </c>
    </row>
    <row r="2" spans="1:76" ht="15.75" thickTop="1" x14ac:dyDescent="0.25"/>
    <row r="3" spans="1:76" x14ac:dyDescent="0.25">
      <c r="A3" t="s">
        <v>64</v>
      </c>
      <c r="B3">
        <v>1</v>
      </c>
      <c r="C3" t="str">
        <f>IF(B3=1,"[L/s]","[m3/h]")</f>
        <v>[L/s]</v>
      </c>
    </row>
    <row r="4" spans="1:76" x14ac:dyDescent="0.25">
      <c r="A4" t="s">
        <v>65</v>
      </c>
      <c r="B4">
        <f>IF(B3=1,1,3.6)</f>
        <v>1</v>
      </c>
    </row>
    <row r="6" spans="1:76" x14ac:dyDescent="0.25">
      <c r="A6" t="s">
        <v>1</v>
      </c>
    </row>
    <row r="8" spans="1:76" ht="20.25" thickBot="1" x14ac:dyDescent="0.35">
      <c r="A8" s="1" t="s">
        <v>2</v>
      </c>
    </row>
    <row r="9" spans="1:76" ht="15.75" thickTop="1" x14ac:dyDescent="0.25"/>
    <row r="10" spans="1:76" x14ac:dyDescent="0.25">
      <c r="A10" t="s">
        <v>1</v>
      </c>
      <c r="B10">
        <f>'CNW-AD'!$D$8/B4</f>
        <v>350</v>
      </c>
    </row>
    <row r="11" spans="1:76" x14ac:dyDescent="0.25">
      <c r="A11" t="s">
        <v>29</v>
      </c>
      <c r="B11">
        <f>'CNW-AD'!D10</f>
        <v>50</v>
      </c>
    </row>
    <row r="12" spans="1:76" x14ac:dyDescent="0.25">
      <c r="A12" t="s">
        <v>7</v>
      </c>
      <c r="B12" s="16" t="b">
        <v>0</v>
      </c>
      <c r="C12" s="16"/>
    </row>
    <row r="13" spans="1:76" x14ac:dyDescent="0.25">
      <c r="B13">
        <f>IF(B12,1,0)</f>
        <v>0</v>
      </c>
    </row>
    <row r="14" spans="1:76" x14ac:dyDescent="0.25">
      <c r="AV14" s="66"/>
      <c r="AW14" s="34"/>
    </row>
    <row r="15" spans="1:76" ht="18" thickBot="1" x14ac:dyDescent="0.35">
      <c r="A15" s="47">
        <v>630</v>
      </c>
      <c r="B15" s="2" t="s">
        <v>10</v>
      </c>
      <c r="C15" s="2"/>
      <c r="I15" s="47">
        <v>500</v>
      </c>
      <c r="J15" s="2" t="s">
        <v>10</v>
      </c>
      <c r="K15" s="2"/>
      <c r="Q15" s="47">
        <v>400</v>
      </c>
      <c r="R15" s="2" t="s">
        <v>10</v>
      </c>
      <c r="S15" s="2"/>
      <c r="Y15" s="47">
        <v>315</v>
      </c>
      <c r="Z15" s="2" t="s">
        <v>10</v>
      </c>
      <c r="AG15" s="47">
        <v>250</v>
      </c>
      <c r="AH15" s="2" t="s">
        <v>10</v>
      </c>
      <c r="AO15" s="47">
        <v>200</v>
      </c>
      <c r="AP15" s="2" t="s">
        <v>10</v>
      </c>
      <c r="AV15" s="66"/>
      <c r="AW15" s="65">
        <v>400</v>
      </c>
      <c r="AX15" s="2" t="s">
        <v>13</v>
      </c>
      <c r="AY15" s="2"/>
      <c r="BE15" s="47">
        <v>315</v>
      </c>
      <c r="BF15" s="2" t="s">
        <v>13</v>
      </c>
      <c r="BM15" s="47">
        <v>250</v>
      </c>
      <c r="BN15" s="2" t="s">
        <v>13</v>
      </c>
      <c r="BU15" s="47">
        <v>200</v>
      </c>
      <c r="BV15" s="2" t="s">
        <v>13</v>
      </c>
    </row>
    <row r="16" spans="1:76" ht="15.75" thickTop="1" x14ac:dyDescent="0.25">
      <c r="A16" t="s">
        <v>38</v>
      </c>
      <c r="B16" s="64">
        <f>PI()/4*D16^2</f>
        <v>8.9196884018884814E-2</v>
      </c>
      <c r="C16" s="2"/>
      <c r="D16">
        <v>0.33700000000000002</v>
      </c>
      <c r="E16" t="s">
        <v>39</v>
      </c>
      <c r="I16" t="s">
        <v>38</v>
      </c>
      <c r="J16" s="64">
        <f>PI()/4*L16^2</f>
        <v>6.0262815679322825E-2</v>
      </c>
      <c r="K16" s="2"/>
      <c r="L16">
        <v>0.27700000000000002</v>
      </c>
      <c r="Q16" t="s">
        <v>38</v>
      </c>
      <c r="R16" s="64">
        <f>PI()/4*T16^2</f>
        <v>4.1547562843725017E-2</v>
      </c>
      <c r="S16" s="2"/>
      <c r="T16">
        <v>0.23</v>
      </c>
      <c r="U16" t="s">
        <v>39</v>
      </c>
      <c r="Y16" t="s">
        <v>38</v>
      </c>
      <c r="Z16" s="64">
        <f>PI()/4*AB16^2</f>
        <v>2.3778714795021142E-2</v>
      </c>
      <c r="AB16">
        <v>0.17399999999999999</v>
      </c>
      <c r="AG16" t="s">
        <v>38</v>
      </c>
      <c r="AH16" s="64">
        <f>PI()/4*AJ16^2</f>
        <v>1.4526724430199206E-2</v>
      </c>
      <c r="AJ16">
        <v>0.13600000000000001</v>
      </c>
      <c r="AO16" t="s">
        <v>38</v>
      </c>
      <c r="AP16" s="64">
        <f>PI()/4*AR16^2</f>
        <v>9.1608841778678361E-3</v>
      </c>
      <c r="AR16">
        <v>0.108</v>
      </c>
      <c r="AV16" s="66"/>
      <c r="AW16" s="34" t="s">
        <v>38</v>
      </c>
      <c r="AX16" s="64">
        <f>PI()/4*AZ16^2</f>
        <v>4.1547562843725017E-2</v>
      </c>
      <c r="AZ16">
        <v>0.23</v>
      </c>
      <c r="BE16" t="s">
        <v>38</v>
      </c>
      <c r="BF16" s="64">
        <f>PI()/4*BH16^2</f>
        <v>2.3778714795021142E-2</v>
      </c>
      <c r="BH16">
        <v>0.17399999999999999</v>
      </c>
      <c r="BM16" t="s">
        <v>38</v>
      </c>
      <c r="BN16" s="64">
        <f>PI()/4*BP16^2</f>
        <v>1.4526724430199206E-2</v>
      </c>
      <c r="BP16">
        <v>0.13600000000000001</v>
      </c>
      <c r="BU16" t="s">
        <v>38</v>
      </c>
      <c r="BV16" s="64">
        <f>PI()/4*BX16^2</f>
        <v>9.1608841778678361E-3</v>
      </c>
      <c r="BX16">
        <v>0.108</v>
      </c>
    </row>
    <row r="17" spans="1:78" x14ac:dyDescent="0.25">
      <c r="A17" t="s">
        <v>37</v>
      </c>
      <c r="B17" s="64">
        <f>$B$10/(1000*B16)</f>
        <v>3.9239038880091126</v>
      </c>
      <c r="C17" s="2"/>
      <c r="I17" t="s">
        <v>37</v>
      </c>
      <c r="J17" s="64">
        <f>$B$10/(1000*J16)</f>
        <v>5.8078932431975758</v>
      </c>
      <c r="K17" s="2"/>
      <c r="Q17" t="s">
        <v>37</v>
      </c>
      <c r="R17" s="64">
        <f>$B$10/(1000*R16)</f>
        <v>8.4240801636541942</v>
      </c>
      <c r="S17" s="2"/>
      <c r="Y17" t="s">
        <v>37</v>
      </c>
      <c r="Z17" s="64">
        <f>$B$10/(1000*Z16)</f>
        <v>14.719046130839841</v>
      </c>
      <c r="AG17" t="s">
        <v>37</v>
      </c>
      <c r="AH17" s="64">
        <f>$B$10/(1000*AH16)</f>
        <v>24.093525122042976</v>
      </c>
      <c r="AO17" t="s">
        <v>37</v>
      </c>
      <c r="AP17" s="64">
        <f>$B$10/(1000*AP16)</f>
        <v>38.205919123568847</v>
      </c>
      <c r="AV17" s="66"/>
      <c r="AW17" s="34" t="s">
        <v>37</v>
      </c>
      <c r="AX17" s="64">
        <f>$B$10/(1000*AX16)</f>
        <v>8.4240801636541942</v>
      </c>
      <c r="BE17" t="s">
        <v>37</v>
      </c>
      <c r="BF17" s="64">
        <f>$B$10/(1000*BF16)</f>
        <v>14.719046130839841</v>
      </c>
      <c r="BM17" t="s">
        <v>37</v>
      </c>
      <c r="BN17" s="64">
        <f>$B$10/(1000*BN16)</f>
        <v>24.093525122042976</v>
      </c>
      <c r="BU17" t="s">
        <v>37</v>
      </c>
      <c r="BV17" s="64">
        <f>$B$10/(1000*BV16)</f>
        <v>38.205919123568847</v>
      </c>
    </row>
    <row r="18" spans="1:78" x14ac:dyDescent="0.25">
      <c r="A18" t="s">
        <v>8</v>
      </c>
      <c r="B18" s="4">
        <f>B17*E18+F18</f>
        <v>17.501878220120297</v>
      </c>
      <c r="C18" s="4"/>
      <c r="D18" s="3"/>
      <c r="E18" s="3">
        <v>6.1779999999999999</v>
      </c>
      <c r="F18" s="3">
        <v>-6.74</v>
      </c>
      <c r="I18" t="s">
        <v>8</v>
      </c>
      <c r="J18" s="4">
        <f>J17*M18+N18</f>
        <v>23.952481888957294</v>
      </c>
      <c r="K18" s="4"/>
      <c r="L18" s="3"/>
      <c r="M18" s="3">
        <v>5.0780000000000003</v>
      </c>
      <c r="N18" s="3">
        <v>-5.54</v>
      </c>
      <c r="Q18" t="s">
        <v>8</v>
      </c>
      <c r="R18" s="4">
        <f>R17*U18+V18</f>
        <v>30.924346050129735</v>
      </c>
      <c r="S18" s="4"/>
      <c r="T18" s="3"/>
      <c r="U18" s="3">
        <v>4.2169999999999996</v>
      </c>
      <c r="V18" s="3">
        <v>-4.5999999999999996</v>
      </c>
      <c r="Y18" t="s">
        <v>8</v>
      </c>
      <c r="Z18" s="4">
        <f>Z17*AC18+AD18</f>
        <v>43.473757157379097</v>
      </c>
      <c r="AB18" s="3"/>
      <c r="AC18" s="3">
        <v>3.19</v>
      </c>
      <c r="AD18" s="3">
        <v>-3.48</v>
      </c>
      <c r="AG18" t="s">
        <v>8</v>
      </c>
      <c r="AH18" s="4">
        <f>AH17*AK18+AL18</f>
        <v>57.345158129253136</v>
      </c>
      <c r="AJ18" s="3"/>
      <c r="AK18" s="3">
        <v>2.4929999999999999</v>
      </c>
      <c r="AL18" s="3">
        <v>-2.72</v>
      </c>
      <c r="AO18" t="s">
        <v>8</v>
      </c>
      <c r="AP18" s="4">
        <f>AP17*AS18+AT18</f>
        <v>73.487719864666317</v>
      </c>
      <c r="AR18" s="3"/>
      <c r="AS18" s="3">
        <v>1.98</v>
      </c>
      <c r="AT18" s="3">
        <v>-2.16</v>
      </c>
      <c r="AV18" s="66"/>
      <c r="AW18" s="34" t="s">
        <v>8</v>
      </c>
      <c r="AX18" s="4">
        <f>AX17*BA18+BB18</f>
        <v>16.404418812777667</v>
      </c>
      <c r="AY18" s="4"/>
      <c r="AZ18" s="3"/>
      <c r="BA18" s="3">
        <v>2.0920800000000002</v>
      </c>
      <c r="BB18" s="3">
        <v>-1.219430816</v>
      </c>
      <c r="BE18" t="s">
        <v>8</v>
      </c>
      <c r="BF18" s="4">
        <f>BF17*BI18+BJ18</f>
        <v>22.336173440631999</v>
      </c>
      <c r="BG18" s="4"/>
      <c r="BH18" s="3"/>
      <c r="BI18" s="3">
        <v>1.5774400000000002</v>
      </c>
      <c r="BJ18" s="3">
        <v>-0.88223868800000016</v>
      </c>
      <c r="BM18" t="s">
        <v>8</v>
      </c>
      <c r="BN18" s="4">
        <f>BN17*BQ18+BR18</f>
        <v>28.938719681395625</v>
      </c>
      <c r="BO18" s="4"/>
      <c r="BP18" s="3"/>
      <c r="BQ18" s="3">
        <v>1.2282200000000001</v>
      </c>
      <c r="BR18" s="3">
        <v>-0.65342974400000009</v>
      </c>
      <c r="BU18" t="s">
        <v>8</v>
      </c>
      <c r="BV18" s="4">
        <f>BV17*BY18+BZ18</f>
        <v>36.609293197072994</v>
      </c>
      <c r="BW18" s="4"/>
      <c r="BX18" s="3"/>
      <c r="BY18" s="3">
        <v>0.9709000000000001</v>
      </c>
      <c r="BZ18" s="3">
        <v>-0.48483368000000004</v>
      </c>
    </row>
    <row r="19" spans="1:78" x14ac:dyDescent="0.25">
      <c r="A19" t="s">
        <v>40</v>
      </c>
      <c r="B19" s="4">
        <f>E19*LN((174/337)^2*$B$10)+F19+20*LOG10(337/174)</f>
        <v>12.172980325560545</v>
      </c>
      <c r="C19" s="4"/>
      <c r="D19" s="3"/>
      <c r="E19" s="3">
        <v>29.094999999999999</v>
      </c>
      <c r="F19" s="3">
        <v>-125.54</v>
      </c>
      <c r="I19" t="s">
        <v>40</v>
      </c>
      <c r="J19" s="4">
        <f>M19*LN((174/277)^2*$B$10)+N19+20*LOG10(277/174)</f>
        <v>21.87902472158542</v>
      </c>
      <c r="K19" s="4"/>
      <c r="L19" s="3"/>
      <c r="M19" s="3">
        <v>29.094999999999999</v>
      </c>
      <c r="N19" s="3">
        <v>-125.54</v>
      </c>
      <c r="Q19" t="s">
        <v>40</v>
      </c>
      <c r="R19" s="4">
        <f>U19*LN((174/230)^2*$B$10)+V19+20*LOG10(230/174)</f>
        <v>31.083729759448801</v>
      </c>
      <c r="S19" s="4"/>
      <c r="T19" s="3"/>
      <c r="U19" s="3">
        <v>29.094999999999999</v>
      </c>
      <c r="V19" s="3">
        <v>-125.54</v>
      </c>
      <c r="Y19" t="s">
        <v>40</v>
      </c>
      <c r="Z19" s="4">
        <f>AC19*LN($B$10)+AD19</f>
        <v>44.896565129696214</v>
      </c>
      <c r="AA19" s="4"/>
      <c r="AB19" s="3"/>
      <c r="AC19" s="3">
        <v>29.094999999999999</v>
      </c>
      <c r="AD19" s="3">
        <v>-125.54</v>
      </c>
      <c r="AG19" t="s">
        <v>40</v>
      </c>
      <c r="AH19" s="4">
        <f>AK19*LN($B$10)+AL19</f>
        <v>56.863548533452089</v>
      </c>
      <c r="AI19" s="4"/>
      <c r="AJ19" s="3"/>
      <c r="AK19" s="3">
        <v>29.074000000000002</v>
      </c>
      <c r="AL19" s="3">
        <v>-113.45</v>
      </c>
      <c r="AO19" t="s">
        <v>40</v>
      </c>
      <c r="AP19" s="4">
        <f>AS19*LN($B$10)+AT19</f>
        <v>68.184037584424303</v>
      </c>
      <c r="AQ19" s="4"/>
      <c r="AR19" s="3"/>
      <c r="AS19" s="3">
        <v>28.789000000000001</v>
      </c>
      <c r="AT19" s="3">
        <v>-100.46</v>
      </c>
      <c r="AV19" s="66"/>
      <c r="AW19" s="34" t="s">
        <v>11</v>
      </c>
      <c r="AX19" s="4">
        <f>BA19*LN((0.2/AZ16)^2*$B$10)+BB19+10*LOG10((AZ16/0.2)^2)</f>
        <v>60.079833283990894</v>
      </c>
      <c r="AY19" s="4"/>
      <c r="AZ19" s="3"/>
      <c r="BA19">
        <v>27.323</v>
      </c>
      <c r="BB19">
        <v>-93.552999999999997</v>
      </c>
      <c r="BE19" t="s">
        <v>11</v>
      </c>
      <c r="BF19" s="4">
        <f>BI19*LN((0.2/BH16)^2*$B$10)+BJ19+10*LOG10((BH16/0.2)^2)</f>
        <v>72.903807563830824</v>
      </c>
      <c r="BG19" s="4"/>
      <c r="BH19" s="3"/>
      <c r="BI19">
        <v>27.323</v>
      </c>
      <c r="BJ19">
        <v>-93.552999999999997</v>
      </c>
      <c r="BM19" t="s">
        <v>11</v>
      </c>
      <c r="BN19" s="4">
        <f>BQ19*LN((0.2/BP16)^2*$B$10)+BR19+10*LOG10((BP16/0.2)^2)</f>
        <v>84.228397760528011</v>
      </c>
      <c r="BO19" s="4"/>
      <c r="BP19" s="3"/>
      <c r="BQ19">
        <v>27.323</v>
      </c>
      <c r="BR19">
        <v>-93.552999999999997</v>
      </c>
      <c r="BU19" t="s">
        <v>11</v>
      </c>
      <c r="BV19" s="4"/>
      <c r="BW19" s="4"/>
      <c r="BX19" s="3"/>
      <c r="BY19" s="3"/>
      <c r="BZ19" s="3"/>
    </row>
    <row r="20" spans="1:78" x14ac:dyDescent="0.25">
      <c r="A20" t="s">
        <v>9</v>
      </c>
      <c r="B20" s="4">
        <f>E20*($B$10/F20)^2</f>
        <v>8.9990817263544542</v>
      </c>
      <c r="C20" s="4"/>
      <c r="D20" s="3" t="s">
        <v>34</v>
      </c>
      <c r="E20" s="3">
        <v>50</v>
      </c>
      <c r="F20" s="3">
        <v>825</v>
      </c>
      <c r="I20" t="s">
        <v>9</v>
      </c>
      <c r="J20" s="4">
        <f t="shared" ref="J20" si="0">M20*($B$10/N20)^2</f>
        <v>19.671509872689203</v>
      </c>
      <c r="K20" s="4"/>
      <c r="L20" s="3" t="s">
        <v>34</v>
      </c>
      <c r="M20" s="3">
        <v>50</v>
      </c>
      <c r="N20" s="3">
        <v>558</v>
      </c>
      <c r="Q20" t="s">
        <v>9</v>
      </c>
      <c r="R20" s="4">
        <f t="shared" ref="R20" si="1">U20*($B$10/V20)^2</f>
        <v>41.322314049586772</v>
      </c>
      <c r="S20" s="4"/>
      <c r="T20" s="3" t="s">
        <v>34</v>
      </c>
      <c r="U20" s="3">
        <v>50</v>
      </c>
      <c r="V20" s="3">
        <v>385</v>
      </c>
      <c r="Y20" t="s">
        <v>9</v>
      </c>
      <c r="Z20" s="4">
        <f t="shared" ref="Z20" si="2">AC20*($B$10/AD20)^2</f>
        <v>133.74530526683554</v>
      </c>
      <c r="AA20" s="4"/>
      <c r="AB20" s="3" t="s">
        <v>34</v>
      </c>
      <c r="AC20" s="3">
        <v>50</v>
      </c>
      <c r="AD20" s="3">
        <v>214</v>
      </c>
      <c r="AG20" t="s">
        <v>9</v>
      </c>
      <c r="AH20" s="4">
        <f t="shared" ref="AH20" si="3">AK20*($B$10/AL20)^2</f>
        <v>346.26038781163442</v>
      </c>
      <c r="AI20" s="4"/>
      <c r="AJ20" s="3" t="s">
        <v>34</v>
      </c>
      <c r="AK20" s="3">
        <v>50</v>
      </c>
      <c r="AL20" s="3">
        <v>133</v>
      </c>
      <c r="AO20" t="s">
        <v>9</v>
      </c>
      <c r="AP20" s="4">
        <f t="shared" ref="AP20" si="4">AS20*($B$10/AT20)^2</f>
        <v>889.09856292640438</v>
      </c>
      <c r="AQ20" s="4"/>
      <c r="AR20" s="3" t="s">
        <v>34</v>
      </c>
      <c r="AS20" s="3">
        <v>50</v>
      </c>
      <c r="AT20" s="3">
        <v>83</v>
      </c>
      <c r="AV20" s="66"/>
      <c r="AW20" s="34" t="s">
        <v>9</v>
      </c>
      <c r="AX20" s="4">
        <f>R20*1.543</f>
        <v>63.760330578512388</v>
      </c>
      <c r="AY20" s="4"/>
      <c r="AZ20" s="3"/>
      <c r="BA20" s="3"/>
      <c r="BB20" s="3"/>
      <c r="BE20" t="s">
        <v>9</v>
      </c>
      <c r="BF20" s="4">
        <f>Z20*1.543</f>
        <v>206.36900602672725</v>
      </c>
      <c r="BH20" s="3"/>
      <c r="BI20" s="3"/>
      <c r="BJ20" s="3"/>
      <c r="BM20" t="s">
        <v>9</v>
      </c>
      <c r="BN20" s="4">
        <f>AH20*1.543</f>
        <v>534.27977839335188</v>
      </c>
      <c r="BP20" s="3"/>
      <c r="BQ20" s="3"/>
      <c r="BR20" s="3"/>
      <c r="BU20" t="s">
        <v>9</v>
      </c>
      <c r="BV20" s="4">
        <f>AP20*1.543</f>
        <v>1371.8790825954418</v>
      </c>
      <c r="BX20" s="3"/>
      <c r="BY20" s="3"/>
      <c r="BZ20" s="3"/>
    </row>
    <row r="21" spans="1:78" x14ac:dyDescent="0.25">
      <c r="A21" t="s">
        <v>12</v>
      </c>
      <c r="B21" s="4">
        <f>E21*A15/1000</f>
        <v>0.94499999999999995</v>
      </c>
      <c r="C21" s="4"/>
      <c r="E21" s="3">
        <v>1.5</v>
      </c>
      <c r="I21" t="s">
        <v>12</v>
      </c>
      <c r="J21" s="4">
        <f>M21*I15/1000</f>
        <v>0.75</v>
      </c>
      <c r="K21" s="4"/>
      <c r="L21" s="3"/>
      <c r="M21" s="3">
        <v>1.5</v>
      </c>
      <c r="N21" s="3"/>
      <c r="Q21" t="s">
        <v>12</v>
      </c>
      <c r="R21" s="4">
        <f>U21*Q15/1000</f>
        <v>0.6</v>
      </c>
      <c r="S21" s="4"/>
      <c r="U21" s="3">
        <v>1.5</v>
      </c>
      <c r="Y21" t="s">
        <v>12</v>
      </c>
      <c r="Z21" s="4">
        <f>AC21*Y15/1000</f>
        <v>0.47249999999999998</v>
      </c>
      <c r="AC21" s="3">
        <v>1.5</v>
      </c>
      <c r="AG21" t="s">
        <v>12</v>
      </c>
      <c r="AH21" s="4">
        <f>AK21*AG15/1000</f>
        <v>0.375</v>
      </c>
      <c r="AK21" s="3">
        <v>1.5</v>
      </c>
      <c r="AO21" t="s">
        <v>12</v>
      </c>
      <c r="AP21" s="4">
        <f>AS21*AO15/1000</f>
        <v>0.3</v>
      </c>
      <c r="AS21" s="3">
        <v>1.5</v>
      </c>
      <c r="AV21" s="66"/>
      <c r="AW21" s="34" t="s">
        <v>12</v>
      </c>
      <c r="AX21" s="4">
        <f>BA21*AW15/1000</f>
        <v>0.8</v>
      </c>
      <c r="AY21" s="4"/>
      <c r="BA21" s="3">
        <v>2</v>
      </c>
      <c r="BE21" t="s">
        <v>12</v>
      </c>
      <c r="BF21" s="4">
        <f>BI21*BE15/1000</f>
        <v>0.63</v>
      </c>
      <c r="BI21" s="3">
        <v>2</v>
      </c>
      <c r="BM21" t="s">
        <v>12</v>
      </c>
      <c r="BN21" s="4">
        <f>BQ21*BM15/1000</f>
        <v>0.5</v>
      </c>
      <c r="BQ21" s="3">
        <v>2</v>
      </c>
      <c r="BU21" t="s">
        <v>12</v>
      </c>
      <c r="BV21" s="4">
        <f>BY21*BU15/1000</f>
        <v>0.4</v>
      </c>
      <c r="BY21" s="3">
        <v>2</v>
      </c>
    </row>
    <row r="22" spans="1:78" x14ac:dyDescent="0.25">
      <c r="AV22" s="66"/>
      <c r="AW22" s="34"/>
    </row>
    <row r="25" spans="1:78" x14ac:dyDescent="0.25">
      <c r="B25" t="s">
        <v>19</v>
      </c>
      <c r="C25" t="s">
        <v>18</v>
      </c>
      <c r="D25" s="48" t="s">
        <v>17</v>
      </c>
      <c r="E25" t="s">
        <v>16</v>
      </c>
      <c r="F25" t="s">
        <v>15</v>
      </c>
      <c r="G25" t="s">
        <v>14</v>
      </c>
    </row>
    <row r="26" spans="1:78" x14ac:dyDescent="0.25">
      <c r="B26" t="s">
        <v>22</v>
      </c>
      <c r="C26" s="48" t="s">
        <v>21</v>
      </c>
      <c r="D26" t="s">
        <v>20</v>
      </c>
    </row>
    <row r="27" spans="1:78" ht="20.25" thickBot="1" x14ac:dyDescent="0.35">
      <c r="A27" s="1" t="s">
        <v>3</v>
      </c>
      <c r="B27" t="str">
        <f>IF($B$12,B26,B25)</f>
        <v>DN200 [S0]</v>
      </c>
      <c r="C27" t="str">
        <f t="shared" ref="C27:D27" si="5">IF($B$12,C26,C25)</f>
        <v>DN250 [S0]</v>
      </c>
      <c r="D27" t="str">
        <f t="shared" si="5"/>
        <v>DN315 [S0]</v>
      </c>
      <c r="E27" s="48" t="str">
        <f>IF($B$12," ",E25)</f>
        <v>DN400 [S0]</v>
      </c>
      <c r="F27" t="str">
        <f>IF($B$12,"",F25)</f>
        <v>DN500 [S0]</v>
      </c>
      <c r="G27" t="str">
        <f>IF($B$12,"",G25)</f>
        <v>DN630 [S0]</v>
      </c>
    </row>
    <row r="28" spans="1:78" ht="15.75" thickTop="1" x14ac:dyDescent="0.25">
      <c r="A28" t="s">
        <v>8</v>
      </c>
      <c r="B28" s="4">
        <f>IF($B$12,BN18,AP18)</f>
        <v>73.487719864666317</v>
      </c>
      <c r="C28" s="4">
        <f>IF($B$12,BF18,AH18)</f>
        <v>57.345158129253136</v>
      </c>
      <c r="D28" s="4">
        <f>IF($B$12,AX18,Z18)</f>
        <v>43.473757157379097</v>
      </c>
      <c r="E28" s="48">
        <f>IF($B$12," ",R18)</f>
        <v>30.924346050129735</v>
      </c>
      <c r="F28" s="4">
        <f>IF($B$12,"",J18)</f>
        <v>23.952481888957294</v>
      </c>
      <c r="G28" s="4">
        <f>IF($B$12,"",B18)</f>
        <v>17.501878220120297</v>
      </c>
    </row>
    <row r="29" spans="1:78" x14ac:dyDescent="0.25">
      <c r="A29" t="s">
        <v>40</v>
      </c>
      <c r="B29" s="4">
        <f>IF($B$12,BN19,AP19)</f>
        <v>68.184037584424303</v>
      </c>
      <c r="C29" s="4">
        <f t="shared" ref="C29" si="6">IF($B$12,BF19,AH19)</f>
        <v>56.863548533452089</v>
      </c>
      <c r="D29" s="4">
        <f t="shared" ref="D29" si="7">IF($B$12,AX19,Z19)</f>
        <v>44.896565129696214</v>
      </c>
      <c r="E29" s="48">
        <f t="shared" ref="E29" si="8">IF($B$12," ",R19)</f>
        <v>31.083729759448801</v>
      </c>
      <c r="F29" s="4">
        <f t="shared" ref="F29" si="9">IF($B$12,"",J19)</f>
        <v>21.87902472158542</v>
      </c>
      <c r="G29" s="4">
        <f t="shared" ref="G29" si="10">IF($B$12,"",B19)</f>
        <v>12.172980325560545</v>
      </c>
    </row>
    <row r="30" spans="1:78" x14ac:dyDescent="0.25">
      <c r="A30" t="s">
        <v>9</v>
      </c>
      <c r="B30" s="4">
        <f>IF($B$12,BN20,AP20)</f>
        <v>889.09856292640438</v>
      </c>
      <c r="C30" s="4">
        <f>IF($B$12,BF20,AH20)</f>
        <v>346.26038781163442</v>
      </c>
      <c r="D30" s="4">
        <f>IF($B$12,AX20,Z20)</f>
        <v>133.74530526683554</v>
      </c>
      <c r="E30" s="48">
        <f>IF($B$12," ",R20)</f>
        <v>41.322314049586772</v>
      </c>
      <c r="F30" s="4">
        <f>IF($B$12,"",J20)</f>
        <v>19.671509872689203</v>
      </c>
      <c r="G30" s="4">
        <f>IF($B$12,"",B20)</f>
        <v>8.9990817263544542</v>
      </c>
    </row>
    <row r="31" spans="1:78" x14ac:dyDescent="0.25">
      <c r="A31" t="s">
        <v>30</v>
      </c>
      <c r="B31">
        <f t="shared" ref="B31:D31" si="11">$B$11</f>
        <v>50</v>
      </c>
      <c r="C31">
        <f t="shared" si="11"/>
        <v>50</v>
      </c>
      <c r="D31">
        <f t="shared" si="11"/>
        <v>50</v>
      </c>
      <c r="E31">
        <f>IF($B$12,"",$B$11)</f>
        <v>50</v>
      </c>
      <c r="F31">
        <f t="shared" ref="F31:G31" si="12">IF($B$12,"",$B$11)</f>
        <v>50</v>
      </c>
      <c r="G31">
        <f t="shared" si="12"/>
        <v>50</v>
      </c>
    </row>
    <row r="32" spans="1:78" x14ac:dyDescent="0.25">
      <c r="A32" t="s">
        <v>12</v>
      </c>
      <c r="B32" s="4">
        <f>IF($B$12,BN21,AP21)</f>
        <v>0.3</v>
      </c>
      <c r="C32" s="4">
        <f>IF($B$12,BF21,AH21)</f>
        <v>0.375</v>
      </c>
      <c r="D32" s="4">
        <f>IF($B$12,AX21,Z21)</f>
        <v>0.47249999999999998</v>
      </c>
      <c r="E32" s="48">
        <f>IF($B$12," ",R21)</f>
        <v>0.6</v>
      </c>
      <c r="F32" s="4">
        <f>IF($B$12,"",J21)</f>
        <v>0.75</v>
      </c>
      <c r="G32" s="4">
        <f>IF($B$12,"",B21)</f>
        <v>0.94499999999999995</v>
      </c>
    </row>
    <row r="33" spans="1:7" x14ac:dyDescent="0.25">
      <c r="C33" s="4"/>
      <c r="D33" s="4"/>
      <c r="E33" s="48"/>
      <c r="F33" s="4"/>
      <c r="G33" s="4"/>
    </row>
    <row r="34" spans="1:7" x14ac:dyDescent="0.25">
      <c r="C34" s="4"/>
      <c r="D34" s="4"/>
      <c r="E34" s="48"/>
      <c r="F34" s="4"/>
      <c r="G34" s="4"/>
    </row>
    <row r="35" spans="1:7" ht="20.25" thickBot="1" x14ac:dyDescent="0.35">
      <c r="A35" s="1" t="s">
        <v>68</v>
      </c>
      <c r="B35" t="str">
        <f>B27</f>
        <v>DN200 [S0]</v>
      </c>
      <c r="C35" t="str">
        <f t="shared" ref="C35:G35" si="13">C27</f>
        <v>DN250 [S0]</v>
      </c>
      <c r="D35" t="str">
        <f t="shared" si="13"/>
        <v>DN315 [S0]</v>
      </c>
      <c r="E35" t="str">
        <f t="shared" si="13"/>
        <v>DN400 [S0]</v>
      </c>
      <c r="F35" t="str">
        <f t="shared" si="13"/>
        <v>DN500 [S0]</v>
      </c>
      <c r="G35" t="str">
        <f t="shared" si="13"/>
        <v>DN630 [S0]</v>
      </c>
    </row>
    <row r="36" spans="1:7" ht="15.75" thickTop="1" x14ac:dyDescent="0.25">
      <c r="A36" t="s">
        <v>8</v>
      </c>
      <c r="B36">
        <f>IF(B28&lt;1,"&lt; 1",B28)</f>
        <v>73.487719864666317</v>
      </c>
      <c r="C36">
        <f t="shared" ref="C36:G36" si="14">IF(C28&lt;1,"&lt; 1",C28)</f>
        <v>57.345158129253136</v>
      </c>
      <c r="D36">
        <f t="shared" si="14"/>
        <v>43.473757157379097</v>
      </c>
      <c r="E36">
        <f t="shared" si="14"/>
        <v>30.924346050129735</v>
      </c>
      <c r="F36">
        <f t="shared" si="14"/>
        <v>23.952481888957294</v>
      </c>
      <c r="G36">
        <f t="shared" si="14"/>
        <v>17.501878220120297</v>
      </c>
    </row>
    <row r="37" spans="1:7" x14ac:dyDescent="0.25">
      <c r="A37" t="s">
        <v>40</v>
      </c>
      <c r="B37">
        <f>IF(B29&lt; 20,"&lt; 20",B29)</f>
        <v>68.184037584424303</v>
      </c>
      <c r="C37">
        <f t="shared" ref="C37:G37" si="15">IF(C29&lt; 20,"&lt; 20",C29)</f>
        <v>56.863548533452089</v>
      </c>
      <c r="D37">
        <f t="shared" si="15"/>
        <v>44.896565129696214</v>
      </c>
      <c r="E37">
        <f t="shared" si="15"/>
        <v>31.083729759448801</v>
      </c>
      <c r="F37">
        <f t="shared" si="15"/>
        <v>21.87902472158542</v>
      </c>
      <c r="G37" t="str">
        <f t="shared" si="15"/>
        <v>&lt; 20</v>
      </c>
    </row>
    <row r="38" spans="1:7" x14ac:dyDescent="0.25">
      <c r="A38" t="s">
        <v>9</v>
      </c>
      <c r="B38">
        <f>IF(B30&lt;10,"&lt; 10",B30)</f>
        <v>889.09856292640438</v>
      </c>
      <c r="C38">
        <f t="shared" ref="C38:G38" si="16">IF(C30&lt;10,"&lt; 10",C30)</f>
        <v>346.26038781163442</v>
      </c>
      <c r="D38">
        <f t="shared" si="16"/>
        <v>133.74530526683554</v>
      </c>
      <c r="E38">
        <f t="shared" si="16"/>
        <v>41.322314049586772</v>
      </c>
      <c r="F38">
        <f t="shared" si="16"/>
        <v>19.671509872689203</v>
      </c>
      <c r="G38" t="str">
        <f t="shared" si="16"/>
        <v>&lt; 10</v>
      </c>
    </row>
    <row r="39" spans="1:7" x14ac:dyDescent="0.25">
      <c r="A39" t="s">
        <v>30</v>
      </c>
      <c r="B39">
        <f t="shared" ref="B39:G39" si="17">B31</f>
        <v>50</v>
      </c>
      <c r="C39">
        <f t="shared" si="17"/>
        <v>50</v>
      </c>
      <c r="D39">
        <f t="shared" si="17"/>
        <v>50</v>
      </c>
      <c r="E39">
        <f t="shared" si="17"/>
        <v>50</v>
      </c>
      <c r="F39">
        <f t="shared" si="17"/>
        <v>50</v>
      </c>
      <c r="G39">
        <f t="shared" si="17"/>
        <v>50</v>
      </c>
    </row>
    <row r="40" spans="1:7" x14ac:dyDescent="0.25">
      <c r="A40" t="s">
        <v>12</v>
      </c>
      <c r="B40">
        <f t="shared" ref="B40:G40" si="18">B32</f>
        <v>0.3</v>
      </c>
      <c r="C40">
        <f t="shared" si="18"/>
        <v>0.375</v>
      </c>
      <c r="D40">
        <f t="shared" si="18"/>
        <v>0.47249999999999998</v>
      </c>
      <c r="E40">
        <f t="shared" si="18"/>
        <v>0.6</v>
      </c>
      <c r="F40">
        <f t="shared" si="18"/>
        <v>0.75</v>
      </c>
      <c r="G40">
        <f t="shared" si="18"/>
        <v>0.94499999999999995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6"/>
  <sheetViews>
    <sheetView showGridLines="0" topLeftCell="A4" zoomScaleNormal="100" workbookViewId="0">
      <selection activeCell="E8" sqref="E8:F8"/>
    </sheetView>
  </sheetViews>
  <sheetFormatPr defaultRowHeight="15" x14ac:dyDescent="0.25"/>
  <cols>
    <col min="15" max="15" width="9.140625" customWidth="1"/>
    <col min="16" max="16" width="5.5703125" customWidth="1"/>
  </cols>
  <sheetData>
    <row r="1" spans="2:18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3"/>
      <c r="P1" s="23"/>
      <c r="Q1" s="23"/>
    </row>
    <row r="2" spans="2:18" ht="21" x14ac:dyDescent="0.35">
      <c r="B2" s="20"/>
      <c r="C2" s="22" t="s">
        <v>4</v>
      </c>
      <c r="D2" s="20"/>
      <c r="E2" s="20"/>
      <c r="F2" s="20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8" ht="25.5" customHeight="1" x14ac:dyDescent="0.35">
      <c r="B3" s="20"/>
      <c r="C3" s="24" t="s">
        <v>61</v>
      </c>
      <c r="D3" s="20"/>
      <c r="E3" s="20"/>
      <c r="F3" s="20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4"/>
    </row>
    <row r="4" spans="2:18" ht="13.5" customHeight="1" x14ac:dyDescent="0.3">
      <c r="B4" s="20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3"/>
      <c r="P4" s="23"/>
      <c r="Q4" s="23"/>
      <c r="R4" s="34"/>
    </row>
    <row r="5" spans="2:18" x14ac:dyDescent="0.25"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6"/>
      <c r="R5" s="34"/>
    </row>
    <row r="6" spans="2:18" ht="20.25" thickBot="1" x14ac:dyDescent="0.35">
      <c r="B6" s="75"/>
      <c r="C6" s="77" t="s">
        <v>43</v>
      </c>
      <c r="D6" s="77"/>
      <c r="E6" s="77"/>
      <c r="F6" s="79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2:18" ht="15.75" thickTop="1" x14ac:dyDescent="0.2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2:18" ht="18" customHeight="1" thickBot="1" x14ac:dyDescent="0.3">
      <c r="B8" s="75"/>
      <c r="C8" s="93" t="s">
        <v>44</v>
      </c>
      <c r="D8" s="94"/>
      <c r="E8" s="95" t="s">
        <v>49</v>
      </c>
      <c r="F8" s="96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2:18" ht="18" customHeight="1" thickTop="1" x14ac:dyDescent="0.25">
      <c r="B9" s="75"/>
      <c r="C9" s="80"/>
      <c r="D9" s="81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2:18" x14ac:dyDescent="0.25">
      <c r="B10" s="75"/>
      <c r="C10" s="75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5"/>
    </row>
    <row r="11" spans="2:18" x14ac:dyDescent="0.25">
      <c r="B11" s="75"/>
      <c r="C11" s="75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5"/>
    </row>
    <row r="12" spans="2:18" x14ac:dyDescent="0.25">
      <c r="B12" s="75"/>
      <c r="C12" s="75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5"/>
    </row>
    <row r="13" spans="2:18" x14ac:dyDescent="0.25">
      <c r="B13" s="75"/>
      <c r="C13" s="7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5"/>
    </row>
    <row r="14" spans="2:18" x14ac:dyDescent="0.25">
      <c r="B14" s="75"/>
      <c r="C14" s="75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5"/>
    </row>
    <row r="15" spans="2:18" x14ac:dyDescent="0.25">
      <c r="B15" s="75"/>
      <c r="C15" s="75"/>
      <c r="D15" s="69"/>
      <c r="E15" s="69"/>
      <c r="F15" s="69"/>
      <c r="G15" s="69">
        <v>1</v>
      </c>
      <c r="H15" s="69" t="s">
        <v>51</v>
      </c>
      <c r="I15" s="69">
        <f t="shared" ref="I15:I20" ca="1" si="0">INDEX(INDIRECT("_"&amp;$E$8&amp;"size"),G15)</f>
        <v>398</v>
      </c>
      <c r="J15" s="69" t="str">
        <f ca="1">CONCATENATE(H15," = ",I15)</f>
        <v>D3 = 398</v>
      </c>
      <c r="K15" s="69"/>
      <c r="L15" s="69"/>
      <c r="M15" s="69"/>
      <c r="N15" s="69"/>
      <c r="O15" s="69"/>
      <c r="P15" s="69"/>
      <c r="Q15" s="75"/>
    </row>
    <row r="16" spans="2:18" x14ac:dyDescent="0.25">
      <c r="B16" s="75"/>
      <c r="C16" s="75"/>
      <c r="D16" s="69"/>
      <c r="E16" s="69"/>
      <c r="F16" s="69"/>
      <c r="G16" s="69">
        <v>2</v>
      </c>
      <c r="H16" s="69" t="s">
        <v>52</v>
      </c>
      <c r="I16" s="69">
        <f t="shared" ca="1" si="0"/>
        <v>230</v>
      </c>
      <c r="J16" s="69" t="str">
        <f t="shared" ref="J16:J19" ca="1" si="1">CONCATENATE(H16," = ",I16)</f>
        <v>D1 = 230</v>
      </c>
      <c r="K16" s="69"/>
      <c r="L16" s="69"/>
      <c r="M16" s="69"/>
      <c r="N16" s="69"/>
      <c r="O16" s="69"/>
      <c r="P16" s="69"/>
      <c r="Q16" s="75"/>
    </row>
    <row r="17" spans="2:17" x14ac:dyDescent="0.25">
      <c r="B17" s="75"/>
      <c r="C17" s="75"/>
      <c r="D17" s="69"/>
      <c r="E17" s="69"/>
      <c r="F17" s="69"/>
      <c r="G17" s="69">
        <v>3</v>
      </c>
      <c r="H17" s="69" t="s">
        <v>53</v>
      </c>
      <c r="I17" s="69">
        <f t="shared" ca="1" si="0"/>
        <v>467</v>
      </c>
      <c r="J17" s="69" t="str">
        <f t="shared" ca="1" si="1"/>
        <v>D2 = 467</v>
      </c>
      <c r="K17" s="69"/>
      <c r="L17" s="69"/>
      <c r="M17" s="69"/>
      <c r="N17" s="69"/>
      <c r="O17" s="69"/>
      <c r="P17" s="69"/>
      <c r="Q17" s="75"/>
    </row>
    <row r="18" spans="2:17" x14ac:dyDescent="0.25">
      <c r="B18" s="75"/>
      <c r="C18" s="75"/>
      <c r="D18" s="69"/>
      <c r="E18" s="69"/>
      <c r="F18" s="69"/>
      <c r="G18" s="69">
        <v>4</v>
      </c>
      <c r="H18" s="69" t="s">
        <v>54</v>
      </c>
      <c r="I18" s="69">
        <f t="shared" ca="1" si="0"/>
        <v>194</v>
      </c>
      <c r="J18" s="69" t="str">
        <f t="shared" ca="1" si="1"/>
        <v>L = 194</v>
      </c>
      <c r="K18" s="69"/>
      <c r="L18" s="69"/>
      <c r="M18" s="69"/>
      <c r="N18" s="69"/>
      <c r="O18" s="69"/>
      <c r="P18" s="69"/>
      <c r="Q18" s="75"/>
    </row>
    <row r="19" spans="2:17" x14ac:dyDescent="0.25">
      <c r="B19" s="75"/>
      <c r="C19" s="75"/>
      <c r="D19" s="69"/>
      <c r="E19" s="69"/>
      <c r="F19" s="69"/>
      <c r="G19" s="69">
        <v>5</v>
      </c>
      <c r="H19" s="69" t="s">
        <v>55</v>
      </c>
      <c r="I19" s="69">
        <f t="shared" ca="1" si="0"/>
        <v>24</v>
      </c>
      <c r="J19" s="69" t="str">
        <f t="shared" ca="1" si="1"/>
        <v>E = 24</v>
      </c>
      <c r="K19" s="69"/>
      <c r="L19" s="69"/>
      <c r="M19" s="69"/>
      <c r="N19" s="69"/>
      <c r="O19" s="69"/>
      <c r="P19" s="69"/>
      <c r="Q19" s="75"/>
    </row>
    <row r="20" spans="2:17" ht="18" x14ac:dyDescent="0.35">
      <c r="B20" s="75"/>
      <c r="C20" s="75"/>
      <c r="D20" s="69"/>
      <c r="E20" s="69"/>
      <c r="F20" s="69"/>
      <c r="G20" s="69">
        <v>6</v>
      </c>
      <c r="H20" s="69" t="s">
        <v>56</v>
      </c>
      <c r="I20" s="69">
        <f t="shared" ca="1" si="0"/>
        <v>340</v>
      </c>
      <c r="J20" s="69" t="str">
        <f ca="1">CONCATENATE("Le"," = ",I20)</f>
        <v>Le = 340</v>
      </c>
      <c r="K20" s="69"/>
      <c r="L20" s="69"/>
      <c r="M20" s="69"/>
      <c r="N20" s="69"/>
      <c r="O20" s="69"/>
      <c r="P20" s="69"/>
      <c r="Q20" s="75"/>
    </row>
    <row r="21" spans="2:17" x14ac:dyDescent="0.25">
      <c r="B21" s="75"/>
      <c r="C21" s="75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5"/>
    </row>
    <row r="22" spans="2:17" x14ac:dyDescent="0.25">
      <c r="B22" s="75"/>
      <c r="C22" s="75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5"/>
    </row>
    <row r="23" spans="2:17" x14ac:dyDescent="0.25">
      <c r="B23" s="75"/>
      <c r="C23" s="75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5"/>
    </row>
    <row r="24" spans="2:17" x14ac:dyDescent="0.25">
      <c r="B24" s="75"/>
      <c r="C24" s="75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5"/>
    </row>
    <row r="25" spans="2:17" x14ac:dyDescent="0.25">
      <c r="B25" s="75"/>
      <c r="C25" s="75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5"/>
    </row>
    <row r="26" spans="2:17" x14ac:dyDescent="0.25">
      <c r="B26" s="75"/>
      <c r="C26" s="75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5"/>
    </row>
    <row r="27" spans="2:17" x14ac:dyDescent="0.25">
      <c r="B27" s="75"/>
      <c r="C27" s="75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5"/>
    </row>
    <row r="28" spans="2:17" x14ac:dyDescent="0.25">
      <c r="B28" s="75"/>
      <c r="C28" s="75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5"/>
    </row>
    <row r="29" spans="2:17" x14ac:dyDescent="0.25">
      <c r="B29" s="75"/>
      <c r="C29" s="75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5"/>
    </row>
    <row r="30" spans="2:17" x14ac:dyDescent="0.25">
      <c r="B30" s="75"/>
      <c r="C30" s="75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5"/>
    </row>
    <row r="31" spans="2:17" x14ac:dyDescent="0.25">
      <c r="B31" s="75"/>
      <c r="C31" s="75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5"/>
    </row>
    <row r="32" spans="2:17" x14ac:dyDescent="0.25">
      <c r="B32" s="75"/>
      <c r="C32" s="75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5"/>
    </row>
    <row r="33" spans="2:17" x14ac:dyDescent="0.25">
      <c r="B33" s="75"/>
      <c r="C33" s="75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5"/>
    </row>
    <row r="34" spans="2:17" x14ac:dyDescent="0.25">
      <c r="B34" s="75"/>
      <c r="C34" s="75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5"/>
    </row>
    <row r="35" spans="2:17" x14ac:dyDescent="0.25">
      <c r="B35" s="75"/>
      <c r="C35" s="75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5"/>
    </row>
    <row r="36" spans="2:17" x14ac:dyDescent="0.25">
      <c r="B36" s="75"/>
      <c r="C36" s="75"/>
      <c r="D36" s="69"/>
      <c r="E36" s="69"/>
      <c r="F36" s="69"/>
      <c r="G36" s="69"/>
      <c r="H36" s="69"/>
      <c r="I36" s="69"/>
      <c r="J36" s="69"/>
      <c r="K36" s="69"/>
      <c r="L36" s="69"/>
      <c r="N36" s="84" t="s">
        <v>58</v>
      </c>
      <c r="O36" s="69"/>
      <c r="P36" s="69"/>
      <c r="Q36" s="75"/>
    </row>
    <row r="37" spans="2:17" x14ac:dyDescent="0.2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2:17" x14ac:dyDescent="0.2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2:17" ht="20.25" thickBot="1" x14ac:dyDescent="0.35">
      <c r="B39" s="75"/>
      <c r="C39" s="77" t="s">
        <v>41</v>
      </c>
      <c r="D39" s="77"/>
      <c r="E39" s="77"/>
      <c r="F39" s="79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2:17" ht="15.75" thickTop="1" x14ac:dyDescent="0.2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2:17" ht="15.75" x14ac:dyDescent="0.25">
      <c r="B41" s="75"/>
      <c r="C41" s="75"/>
      <c r="E41" s="69"/>
      <c r="F41" s="69"/>
      <c r="G41" s="69"/>
      <c r="H41" s="69"/>
      <c r="I41" s="69"/>
      <c r="J41" s="82" t="str">
        <f>IF('CNW-ADequations'!B12,"Swirl Type Selected", "Non Swirl Type Selected")</f>
        <v>Non Swirl Type Selected</v>
      </c>
      <c r="K41" s="69"/>
      <c r="L41" s="69"/>
      <c r="M41" s="69"/>
      <c r="N41" s="69"/>
      <c r="O41" s="69"/>
      <c r="P41" s="69"/>
      <c r="Q41" s="75"/>
    </row>
    <row r="42" spans="2:17" x14ac:dyDescent="0.25">
      <c r="B42" s="75"/>
      <c r="C42" s="75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5"/>
    </row>
    <row r="43" spans="2:17" x14ac:dyDescent="0.25">
      <c r="B43" s="75"/>
      <c r="C43" s="75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83"/>
      <c r="Q43" s="78"/>
    </row>
    <row r="44" spans="2:17" x14ac:dyDescent="0.25">
      <c r="B44" s="75"/>
      <c r="C44" s="75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5"/>
    </row>
    <row r="45" spans="2:17" x14ac:dyDescent="0.25">
      <c r="B45" s="75"/>
      <c r="C45" s="7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5"/>
    </row>
    <row r="46" spans="2:17" x14ac:dyDescent="0.25">
      <c r="B46" s="75"/>
      <c r="C46" s="75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5"/>
    </row>
    <row r="47" spans="2:17" x14ac:dyDescent="0.25">
      <c r="B47" s="75"/>
      <c r="C47" s="75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5"/>
    </row>
    <row r="48" spans="2:17" x14ac:dyDescent="0.25">
      <c r="B48" s="75"/>
      <c r="C48" s="75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5"/>
    </row>
    <row r="49" spans="2:17" x14ac:dyDescent="0.25">
      <c r="B49" s="75"/>
      <c r="C49" s="75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5"/>
    </row>
    <row r="50" spans="2:17" x14ac:dyDescent="0.25">
      <c r="B50" s="75"/>
      <c r="C50" s="75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5"/>
    </row>
    <row r="51" spans="2:17" x14ac:dyDescent="0.25">
      <c r="B51" s="75"/>
      <c r="C51" s="75"/>
      <c r="E51" s="69"/>
      <c r="F51" s="69"/>
      <c r="G51" s="69" t="str">
        <f>"Size: "&amp;'CNW-AD'!D16&amp;"; C ≥ "&amp;ROUND('CNW-AD'!D21,3)&amp;" m"</f>
        <v>Size: DN200 [S0]; C ≥ 0.3 m</v>
      </c>
      <c r="H51" s="69" t="str">
        <f>"Size: "&amp;'CNW-AD'!E16&amp;"; C ≥ "&amp;ROUND('CNW-AD'!E21,3)&amp;" m"</f>
        <v>Size: DN250 [S0]; C ≥ 0.375 m</v>
      </c>
      <c r="I51" s="69" t="str">
        <f>"Size: "&amp;'CNW-AD'!F16&amp;"; C ≥ "&amp;ROUND('CNW-AD'!F21,3)&amp;" m"</f>
        <v>Size: DN315 [S0]; C ≥ 0.473 m</v>
      </c>
      <c r="J51" s="69" t="str">
        <f>IF('CNW-ADequations'!$B$12,"","Size: "&amp;'CNW-AD'!G16&amp;"; C ≥ "&amp;ROUND('CNW-AD'!G21,3)&amp;" m")</f>
        <v>Size: DN400 [S0]; C ≥ 0.6 m</v>
      </c>
      <c r="K51" s="69" t="str">
        <f>IF('CNW-ADequations'!$B$12,"","Size: "&amp;'CNW-AD'!H16&amp;"; C ≥ "&amp;ROUND('CNW-AD'!H21,3)&amp;" m")</f>
        <v>Size: DN500 [S0]; C ≥ 0.75 m</v>
      </c>
      <c r="L51" s="69" t="str">
        <f>IF('CNW-ADequations'!$B$12,"","Size: "&amp;'CNW-AD'!I16&amp;"; C ≥ "&amp;ROUND('CNW-AD'!I21,3)&amp;" m")</f>
        <v>Size: DN630 [S0]; C ≥ 0.945 m</v>
      </c>
      <c r="M51" s="69"/>
      <c r="N51" s="69"/>
      <c r="O51" s="69"/>
      <c r="P51" s="69"/>
      <c r="Q51" s="75"/>
    </row>
    <row r="52" spans="2:17" x14ac:dyDescent="0.25">
      <c r="B52" s="75"/>
      <c r="C52" s="75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5"/>
    </row>
    <row r="53" spans="2:17" x14ac:dyDescent="0.25">
      <c r="B53" s="75"/>
      <c r="C53" s="75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5"/>
    </row>
    <row r="54" spans="2:17" x14ac:dyDescent="0.25">
      <c r="B54" s="75"/>
      <c r="C54" s="75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5"/>
    </row>
    <row r="55" spans="2:17" x14ac:dyDescent="0.25">
      <c r="B55" s="75"/>
      <c r="C55" s="75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5"/>
    </row>
    <row r="56" spans="2:17" x14ac:dyDescent="0.25">
      <c r="B56" s="75"/>
      <c r="C56" s="75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5"/>
    </row>
    <row r="57" spans="2:17" x14ac:dyDescent="0.25">
      <c r="B57" s="75"/>
      <c r="C57" s="75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75"/>
    </row>
    <row r="58" spans="2:17" x14ac:dyDescent="0.25">
      <c r="B58" s="75"/>
      <c r="C58" s="75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5"/>
    </row>
    <row r="59" spans="2:17" x14ac:dyDescent="0.25">
      <c r="B59" s="75"/>
      <c r="C59" s="75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5"/>
    </row>
    <row r="60" spans="2:17" x14ac:dyDescent="0.25">
      <c r="B60" s="75"/>
      <c r="C60" s="75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5"/>
    </row>
    <row r="61" spans="2:17" x14ac:dyDescent="0.25">
      <c r="B61" s="75"/>
      <c r="C61" s="75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75"/>
    </row>
    <row r="62" spans="2:17" x14ac:dyDescent="0.25">
      <c r="B62" s="75"/>
      <c r="C62" s="75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75"/>
    </row>
    <row r="63" spans="2:17" x14ac:dyDescent="0.25">
      <c r="B63" s="75"/>
      <c r="C63" s="75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75"/>
    </row>
    <row r="64" spans="2:17" x14ac:dyDescent="0.25">
      <c r="B64" s="75"/>
      <c r="C64" s="75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75"/>
    </row>
    <row r="65" spans="2:17" x14ac:dyDescent="0.2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2:17" x14ac:dyDescent="0.2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</sheetData>
  <sheetProtection algorithmName="SHA-512" hashValue="85IOhCHz3zXykZjQcaLiPGaHvTxsimH+O9xomPvCuBdqsHz3M/UEwm3+ox004p8UMi87ekTj0kOMeUOXqAziLQ==" saltValue="PaSIyeh/WPM6czVY3r2Ktg==" spinCount="100000" sheet="1" objects="1" scenarios="1" selectLockedCells="1"/>
  <mergeCells count="2">
    <mergeCell ref="C8:D8"/>
    <mergeCell ref="E8:F8"/>
  </mergeCells>
  <dataValidations count="1">
    <dataValidation type="list" allowBlank="1" showInputMessage="1" showErrorMessage="1" sqref="E8">
      <formula1>_sizes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39" sqref="D39"/>
    </sheetView>
  </sheetViews>
  <sheetFormatPr defaultRowHeight="15" x14ac:dyDescent="0.25"/>
  <sheetData>
    <row r="1" spans="1:7" x14ac:dyDescent="0.25">
      <c r="A1" t="s">
        <v>46</v>
      </c>
    </row>
    <row r="2" spans="1:7" x14ac:dyDescent="0.25">
      <c r="A2" t="s">
        <v>47</v>
      </c>
    </row>
    <row r="3" spans="1:7" x14ac:dyDescent="0.25">
      <c r="A3" t="s">
        <v>48</v>
      </c>
    </row>
    <row r="4" spans="1:7" x14ac:dyDescent="0.25">
      <c r="A4" t="s">
        <v>49</v>
      </c>
    </row>
    <row r="5" spans="1:7" x14ac:dyDescent="0.25">
      <c r="A5" t="s">
        <v>50</v>
      </c>
    </row>
    <row r="6" spans="1:7" x14ac:dyDescent="0.25">
      <c r="A6" t="s">
        <v>45</v>
      </c>
    </row>
    <row r="9" spans="1:7" x14ac:dyDescent="0.25"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45</v>
      </c>
    </row>
    <row r="10" spans="1:7" x14ac:dyDescent="0.25">
      <c r="A10" s="2" t="s">
        <v>51</v>
      </c>
      <c r="B10">
        <v>198</v>
      </c>
      <c r="C10">
        <v>248</v>
      </c>
      <c r="D10">
        <v>313</v>
      </c>
      <c r="E10">
        <v>398</v>
      </c>
      <c r="F10">
        <v>498</v>
      </c>
      <c r="G10">
        <v>620</v>
      </c>
    </row>
    <row r="11" spans="1:7" x14ac:dyDescent="0.25">
      <c r="A11" s="2" t="s">
        <v>52</v>
      </c>
      <c r="B11">
        <v>108</v>
      </c>
      <c r="C11">
        <v>136</v>
      </c>
      <c r="D11">
        <v>174</v>
      </c>
      <c r="E11">
        <v>230</v>
      </c>
      <c r="F11">
        <v>277</v>
      </c>
      <c r="G11">
        <v>337</v>
      </c>
    </row>
    <row r="12" spans="1:7" x14ac:dyDescent="0.25">
      <c r="A12" s="2" t="s">
        <v>53</v>
      </c>
      <c r="B12">
        <v>257</v>
      </c>
      <c r="C12">
        <v>302</v>
      </c>
      <c r="D12">
        <v>384</v>
      </c>
      <c r="E12">
        <v>467</v>
      </c>
      <c r="F12">
        <v>600</v>
      </c>
      <c r="G12">
        <v>733</v>
      </c>
    </row>
    <row r="13" spans="1:7" x14ac:dyDescent="0.25">
      <c r="A13" s="2" t="s">
        <v>54</v>
      </c>
      <c r="B13">
        <v>140</v>
      </c>
      <c r="C13">
        <v>164</v>
      </c>
      <c r="D13">
        <v>177</v>
      </c>
      <c r="E13">
        <v>194</v>
      </c>
      <c r="F13">
        <v>258</v>
      </c>
      <c r="G13">
        <v>240</v>
      </c>
    </row>
    <row r="14" spans="1:7" x14ac:dyDescent="0.25">
      <c r="A14" s="2" t="s">
        <v>55</v>
      </c>
      <c r="B14">
        <v>20</v>
      </c>
      <c r="C14">
        <v>24</v>
      </c>
      <c r="D14">
        <v>24</v>
      </c>
      <c r="E14">
        <v>24</v>
      </c>
      <c r="F14">
        <v>28</v>
      </c>
      <c r="G14">
        <v>32</v>
      </c>
    </row>
    <row r="15" spans="1:7" x14ac:dyDescent="0.25">
      <c r="A15" s="2" t="s">
        <v>57</v>
      </c>
      <c r="B15">
        <v>340</v>
      </c>
      <c r="C15">
        <v>340</v>
      </c>
      <c r="D15">
        <v>340</v>
      </c>
      <c r="E15">
        <v>340</v>
      </c>
      <c r="F15">
        <v>415</v>
      </c>
      <c r="G15">
        <v>450</v>
      </c>
    </row>
  </sheetData>
  <sheetProtection algorithmName="SHA-512" hashValue="EGS0wWz8lnx8D/IrKqW62WfqM1aTi7v86rHwiXdxIscBMi1ZNBOGYh1zpg4QAVWDCG5IR/r0yns187X8B5pw3w==" saltValue="2vqMv7lOTHffaDM+YV+7u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CNW-AD</vt:lpstr>
      <vt:lpstr>CNW-ADequations</vt:lpstr>
      <vt:lpstr>Notes CNW-AD</vt:lpstr>
      <vt:lpstr>CNW-ADdata</vt:lpstr>
      <vt:lpstr>_DN200size</vt:lpstr>
      <vt:lpstr>_DN250size</vt:lpstr>
      <vt:lpstr>_DN315size</vt:lpstr>
      <vt:lpstr>_DN400size</vt:lpstr>
      <vt:lpstr>_DN500size</vt:lpstr>
      <vt:lpstr>_DN630size</vt:lpstr>
      <vt:lpstr>_sizes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Smartair Diffusion; Peter Tran</dc:creator>
  <cp:lastModifiedBy>Peter Tran</cp:lastModifiedBy>
  <dcterms:created xsi:type="dcterms:W3CDTF">2016-09-15T03:33:21Z</dcterms:created>
  <dcterms:modified xsi:type="dcterms:W3CDTF">2017-10-25T01:51:25Z</dcterms:modified>
</cp:coreProperties>
</file>